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ockhampton2sv\Groupdir\Delivery\R&amp;DDel\AnimalSc\Forages and Cattle Growth Paths\DCAP Project\Papers_presentations_media releases\Powerpoint presentations\Response and recovery\"/>
    </mc:Choice>
  </mc:AlternateContent>
  <bookViews>
    <workbookView xWindow="0" yWindow="0" windowWidth="28800" windowHeight="12300"/>
  </bookViews>
  <sheets>
    <sheet name="Sell or ag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30" i="1"/>
  <c r="C25" i="1"/>
  <c r="C44" i="1" l="1"/>
  <c r="B90" i="1"/>
  <c r="B91" i="1" s="1"/>
  <c r="B92" i="1" s="1"/>
  <c r="B93" i="1" s="1"/>
  <c r="E84" i="1"/>
  <c r="D84" i="1" s="1"/>
  <c r="D63" i="1"/>
  <c r="C54" i="1"/>
  <c r="C62" i="1" s="1"/>
  <c r="C64" i="1" s="1"/>
  <c r="K29" i="1"/>
  <c r="K30" i="1" s="1"/>
  <c r="D25" i="1"/>
  <c r="C35" i="1" s="1"/>
  <c r="C23" i="1"/>
  <c r="M14" i="1"/>
  <c r="N14" i="1" s="1"/>
  <c r="O14" i="1" s="1"/>
  <c r="P14" i="1" s="1"/>
  <c r="Q14" i="1" s="1"/>
  <c r="M13" i="1"/>
  <c r="N13" i="1" s="1"/>
  <c r="O13" i="1" s="1"/>
  <c r="P13" i="1" s="1"/>
  <c r="Q13" i="1" s="1"/>
  <c r="C13" i="1"/>
  <c r="C14" i="1" s="1"/>
  <c r="M11" i="1"/>
  <c r="N11" i="1" s="1"/>
  <c r="O11" i="1" s="1"/>
  <c r="P11" i="1" s="1"/>
  <c r="M7" i="1"/>
  <c r="N7" i="1" s="1"/>
  <c r="O7" i="1" s="1"/>
  <c r="P7" i="1" s="1"/>
  <c r="Q7" i="1" s="1"/>
  <c r="K6" i="1"/>
  <c r="K16" i="1" s="1"/>
  <c r="N9" i="1" l="1"/>
  <c r="C84" i="1"/>
  <c r="M9" i="1" s="1"/>
  <c r="K8" i="1"/>
  <c r="M8" i="1" s="1"/>
  <c r="C36" i="1"/>
  <c r="O9" i="1"/>
  <c r="F84" i="1"/>
  <c r="C56" i="1"/>
  <c r="C31" i="1"/>
  <c r="B89" i="1"/>
  <c r="B88" i="1" s="1"/>
  <c r="B87" i="1" s="1"/>
  <c r="M16" i="1"/>
  <c r="K10" i="1"/>
  <c r="C66" i="1"/>
  <c r="D73" i="1"/>
  <c r="D72" i="1"/>
  <c r="Q11" i="1"/>
  <c r="M6" i="1"/>
  <c r="M10" i="1" l="1"/>
  <c r="M12" i="1" s="1"/>
  <c r="M15" i="1" s="1"/>
  <c r="N6" i="1"/>
  <c r="P9" i="1"/>
  <c r="G84" i="1"/>
  <c r="Q9" i="1" s="1"/>
  <c r="N8" i="1"/>
  <c r="C70" i="1"/>
  <c r="D70" i="1" s="1"/>
  <c r="N16" i="1"/>
  <c r="K12" i="1"/>
  <c r="K17" i="1" s="1"/>
  <c r="C49" i="1"/>
  <c r="D49" i="1" s="1"/>
  <c r="D44" i="1"/>
  <c r="O6" i="1" l="1"/>
  <c r="P6" i="1" s="1"/>
  <c r="Q6" i="1" s="1"/>
  <c r="C90" i="1"/>
  <c r="K15" i="1"/>
  <c r="K18" i="1" s="1"/>
  <c r="C18" i="1" s="1"/>
  <c r="C19" i="1" s="1"/>
  <c r="C85" i="1"/>
  <c r="M18" i="1"/>
  <c r="M19" i="1" s="1"/>
  <c r="C89" i="1" s="1"/>
  <c r="D74" i="1"/>
  <c r="O8" i="1"/>
  <c r="N10" i="1"/>
  <c r="C71" i="1"/>
  <c r="M17" i="1"/>
  <c r="O16" i="1"/>
  <c r="C93" i="1" l="1"/>
  <c r="C92" i="1"/>
  <c r="C91" i="1"/>
  <c r="C88" i="1"/>
  <c r="C87" i="1"/>
  <c r="D57" i="1"/>
  <c r="P16" i="1"/>
  <c r="C74" i="1"/>
  <c r="C48" i="1"/>
  <c r="D19" i="1"/>
  <c r="E85" i="1"/>
  <c r="N12" i="1"/>
  <c r="N17" i="1" s="1"/>
  <c r="P8" i="1"/>
  <c r="O10" i="1"/>
  <c r="N15" i="1" l="1"/>
  <c r="O12" i="1"/>
  <c r="O17" i="1" s="1"/>
  <c r="C50" i="1"/>
  <c r="D48" i="1"/>
  <c r="D50" i="1" s="1"/>
  <c r="D58" i="1" s="1"/>
  <c r="Q8" i="1"/>
  <c r="P10" i="1"/>
  <c r="Q16" i="1"/>
  <c r="O15" i="1" l="1"/>
  <c r="E90" i="1" s="1"/>
  <c r="D85" i="1"/>
  <c r="N18" i="1"/>
  <c r="N19" i="1" s="1"/>
  <c r="D89" i="1" s="1"/>
  <c r="Q10" i="1"/>
  <c r="P12" i="1"/>
  <c r="P17" i="1" s="1"/>
  <c r="C58" i="1"/>
  <c r="D76" i="1"/>
  <c r="D92" i="1" l="1"/>
  <c r="D87" i="1"/>
  <c r="D91" i="1"/>
  <c r="D88" i="1"/>
  <c r="D93" i="1"/>
  <c r="O18" i="1"/>
  <c r="O19" i="1" s="1"/>
  <c r="D90" i="1"/>
  <c r="E87" i="1"/>
  <c r="E88" i="1"/>
  <c r="E89" i="1"/>
  <c r="E93" i="1"/>
  <c r="E91" i="1"/>
  <c r="E92" i="1"/>
  <c r="P15" i="1"/>
  <c r="Q12" i="1"/>
  <c r="Q17" i="1" s="1"/>
  <c r="P18" i="1" l="1"/>
  <c r="P19" i="1" s="1"/>
  <c r="F93" i="1" s="1"/>
  <c r="F85" i="1"/>
  <c r="Q15" i="1"/>
  <c r="F91" i="1" l="1"/>
  <c r="F89" i="1"/>
  <c r="F87" i="1"/>
  <c r="F92" i="1"/>
  <c r="F88" i="1"/>
  <c r="F90" i="1"/>
  <c r="G85" i="1"/>
  <c r="Q18" i="1"/>
  <c r="Q19" i="1" s="1"/>
  <c r="G91" i="1" s="1"/>
  <c r="G92" i="1" l="1"/>
  <c r="G89" i="1"/>
  <c r="G87" i="1"/>
  <c r="G93" i="1"/>
  <c r="G90" i="1"/>
  <c r="G88" i="1"/>
</calcChain>
</file>

<file path=xl/sharedStrings.xml><?xml version="1.0" encoding="utf-8"?>
<sst xmlns="http://schemas.openxmlformats.org/spreadsheetml/2006/main" count="112" uniqueCount="102">
  <si>
    <t>Enter data in yellow cells</t>
  </si>
  <si>
    <t>Calculate the value of the owned stock on farm</t>
  </si>
  <si>
    <t>Calculations for sensitivity test</t>
  </si>
  <si>
    <t>Per head or unit</t>
  </si>
  <si>
    <t>Total for the mob</t>
  </si>
  <si>
    <t>Cow weight in the paddock</t>
  </si>
  <si>
    <t xml:space="preserve">Property </t>
  </si>
  <si>
    <t>weight loss to get to sale yards or works</t>
  </si>
  <si>
    <t>Cattle description</t>
  </si>
  <si>
    <t>PTIC cows</t>
  </si>
  <si>
    <t>Cow weight at saleyards or works</t>
  </si>
  <si>
    <t>Sale price at yards or works ($ /kg live)</t>
  </si>
  <si>
    <t>No of head</t>
  </si>
  <si>
    <t>Gross sale price ($/head)</t>
  </si>
  <si>
    <t>Date that PTIC cows could be sold</t>
  </si>
  <si>
    <t>Commission &amp; insurance % on sales</t>
  </si>
  <si>
    <t>Date that cows and calves could be replaced</t>
  </si>
  <si>
    <t>Commission &amp; insurance ($/head)</t>
  </si>
  <si>
    <t>Days to replacement</t>
  </si>
  <si>
    <t>Transaction levy, yard dues etc</t>
  </si>
  <si>
    <t>Weeks weeks to replacement</t>
  </si>
  <si>
    <t>Transport cost ($/head)</t>
  </si>
  <si>
    <t>Cow value net of selling expenses</t>
  </si>
  <si>
    <t>Opening value</t>
  </si>
  <si>
    <t>Paddock weight</t>
  </si>
  <si>
    <t>Current liveweight of PTIC cows (kg)</t>
  </si>
  <si>
    <t>Selling cost ($ per kg)</t>
  </si>
  <si>
    <t>Expected sale price now ($/kg liveweight)</t>
  </si>
  <si>
    <t>Use box to the right to calculate $/kg value net of selling costs</t>
  </si>
  <si>
    <t xml:space="preserve">Net value in the paddock ($/kg) </t>
  </si>
  <si>
    <t>Current sale value ($/hd) on farm</t>
  </si>
  <si>
    <t>Treatment costs of holding PTIC cows</t>
  </si>
  <si>
    <t>Transport cost per head calculator</t>
  </si>
  <si>
    <t>weeks</t>
  </si>
  <si>
    <t>Number transported</t>
  </si>
  <si>
    <t>Distance (Km)</t>
  </si>
  <si>
    <t>$ per Km</t>
  </si>
  <si>
    <t>Rate on Truck</t>
  </si>
  <si>
    <t>Total</t>
  </si>
  <si>
    <t>Per head</t>
  </si>
  <si>
    <t>Transport Loading Density Guide</t>
  </si>
  <si>
    <t>Source for loading density: Kaus, Lapworth and Dunn "Marketing Cattle  to South-East Asia"</t>
  </si>
  <si>
    <t>Maximum for lighter cattle = 44/deck</t>
  </si>
  <si>
    <t>Average</t>
  </si>
  <si>
    <t>Head Per</t>
  </si>
  <si>
    <t>Liveweight</t>
  </si>
  <si>
    <t>12.2m deck</t>
  </si>
  <si>
    <t>Opportunity cost of interest foregone in holding PTIC cows</t>
  </si>
  <si>
    <t>Interest rate (%)</t>
  </si>
  <si>
    <t>Interest cost - cattle  ($/hd)</t>
  </si>
  <si>
    <t>Interest cost - treatment costs ($/hd)</t>
  </si>
  <si>
    <t>Opportunity cost of interest ($/hd)</t>
  </si>
  <si>
    <t>Total cost of retaining cows and calves</t>
  </si>
  <si>
    <t xml:space="preserve">Weaning rate from retained PTIC breeders </t>
  </si>
  <si>
    <t>Number of cow and calf units held at the end of the period</t>
  </si>
  <si>
    <t>Mortality rate for retained cows</t>
  </si>
  <si>
    <t>PTIC empty cows at the end of the period</t>
  </si>
  <si>
    <t>Adjustment for value of PTIC empty cows</t>
  </si>
  <si>
    <t>Value /Cost of cow and calf units at the end of the period</t>
  </si>
  <si>
    <t>Expected cost of replacing cows and calves</t>
  </si>
  <si>
    <t>Number of cow and calf units to be purchased</t>
  </si>
  <si>
    <t>Total travel costs (total costs of finding stock)</t>
  </si>
  <si>
    <t>Travel costs per head</t>
  </si>
  <si>
    <t>Transport costs to get stock to the property</t>
  </si>
  <si>
    <t>Total transport costs</t>
  </si>
  <si>
    <t>Indiuction cost $/unit</t>
  </si>
  <si>
    <t>Expected purchase cost of cow and calf unit</t>
  </si>
  <si>
    <t>Total landed cost</t>
  </si>
  <si>
    <t>Gain (or loss) on holding and feeding</t>
  </si>
  <si>
    <t>Sensitivity to replacement cost for cow and calf unit and sale price for PTIC cows</t>
  </si>
  <si>
    <t>Expected sale price of PTIC cow</t>
  </si>
  <si>
    <t>per kg at the yards or works</t>
  </si>
  <si>
    <t>$ per head on farm</t>
  </si>
  <si>
    <t>Expected purchase price of replacement cow and calf unit</t>
  </si>
  <si>
    <t>NQ Gulf</t>
  </si>
  <si>
    <t>Agistment cost calculator</t>
  </si>
  <si>
    <t>Number of PTIC cows to be agisted</t>
  </si>
  <si>
    <t>Number of days to be agisted</t>
  </si>
  <si>
    <t>Start date</t>
  </si>
  <si>
    <t>End Date</t>
  </si>
  <si>
    <t>Costs of transfering the livestock to agistment</t>
  </si>
  <si>
    <t>head/deck</t>
  </si>
  <si>
    <t>kms</t>
  </si>
  <si>
    <t>per km</t>
  </si>
  <si>
    <t>Trucking  (head per deck)</t>
  </si>
  <si>
    <t>Distance to agistment</t>
  </si>
  <si>
    <t>Cost per deck per kilometer</t>
  </si>
  <si>
    <t>Cost per head for transport to agistment</t>
  </si>
  <si>
    <t>Total transport cost to agistment</t>
  </si>
  <si>
    <t>Yard fees per head</t>
  </si>
  <si>
    <t>Treatment cost per head</t>
  </si>
  <si>
    <t>Agistment cost ($/week /head)</t>
  </si>
  <si>
    <t>Agistment cost per head</t>
  </si>
  <si>
    <t>Total cost of agistment</t>
  </si>
  <si>
    <t>Mustering and Travelling per head</t>
  </si>
  <si>
    <t>Costs of transfering the livestock home</t>
  </si>
  <si>
    <t>Total agistment and treatment costs ($/hd)</t>
  </si>
  <si>
    <t>Calculator for comparing agisting PTIC cows or selling them and then buying back cows and calves</t>
  </si>
  <si>
    <t>Other cost associated with agistment (supplements)</t>
  </si>
  <si>
    <t>A positive number indicates it was better to hold the PTIC cows and agist them</t>
  </si>
  <si>
    <t xml:space="preserve"> This amount adjusts for the value of the PTE cows identified after mating. </t>
  </si>
  <si>
    <t>Gain or loss from holding and agisting PTIC cows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</si>
</sst>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0_)"/>
    <numFmt numFmtId="165" formatCode="&quot;$&quot;#,##0.00_);\(&quot;$&quot;#,##0.00\)"/>
    <numFmt numFmtId="166" formatCode="0_)"/>
    <numFmt numFmtId="167" formatCode="&quot;$&quot;#,##0"/>
    <numFmt numFmtId="168" formatCode="d\ mmm\ yyyy"/>
    <numFmt numFmtId="169" formatCode="&quot;$&quot;#,##0.00"/>
    <numFmt numFmtId="170" formatCode="&quot;$&quot;#,##0_);[Red]\(&quot;$&quot;#,##0\)"/>
    <numFmt numFmtId="171" formatCode="&quot;$&quot;#,##0.00;[Red]&quot;$&quot;#,##0.00"/>
    <numFmt numFmtId="172" formatCode="&quot;$&quot;#,##0.0"/>
    <numFmt numFmtId="173" formatCode="d/mm/yyyy;@"/>
    <numFmt numFmtId="174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indexed="2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4" fillId="0" borderId="0"/>
    <xf numFmtId="0" fontId="10" fillId="0" borderId="0"/>
    <xf numFmtId="0" fontId="11" fillId="0" borderId="0"/>
    <xf numFmtId="0" fontId="11" fillId="0" borderId="0"/>
  </cellStyleXfs>
  <cellXfs count="120">
    <xf numFmtId="0" fontId="0" fillId="0" borderId="0" xfId="0"/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horizontal="center"/>
      <protection locked="0"/>
    </xf>
    <xf numFmtId="164" fontId="4" fillId="0" borderId="0" xfId="3" applyFont="1" applyAlignment="1"/>
    <xf numFmtId="164" fontId="3" fillId="2" borderId="0" xfId="3" applyFont="1" applyFill="1" applyAlignment="1"/>
    <xf numFmtId="164" fontId="4" fillId="0" borderId="0" xfId="3" applyFont="1" applyAlignment="1">
      <alignment horizontal="right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4" fillId="0" borderId="0" xfId="0" applyFont="1" applyAlignment="1"/>
    <xf numFmtId="164" fontId="3" fillId="0" borderId="0" xfId="3" applyFont="1" applyAlignment="1">
      <alignment horizontal="center"/>
    </xf>
    <xf numFmtId="0" fontId="4" fillId="0" borderId="1" xfId="0" applyFont="1" applyBorder="1" applyAlignment="1" applyProtection="1">
      <alignment horizontal="left"/>
    </xf>
    <xf numFmtId="3" fontId="4" fillId="4" borderId="3" xfId="4" applyNumberFormat="1" applyFont="1" applyFill="1" applyBorder="1" applyAlignment="1">
      <alignment horizontal="center"/>
    </xf>
    <xf numFmtId="164" fontId="4" fillId="0" borderId="0" xfId="3" applyFont="1" applyAlignment="1" applyProtection="1">
      <alignment horizontal="left"/>
      <protection locked="0"/>
    </xf>
    <xf numFmtId="164" fontId="5" fillId="2" borderId="0" xfId="3" applyFont="1" applyFill="1" applyAlignment="1">
      <alignment horizontal="left" vertical="top"/>
    </xf>
    <xf numFmtId="10" fontId="4" fillId="2" borderId="4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left"/>
    </xf>
    <xf numFmtId="10" fontId="4" fillId="4" borderId="4" xfId="0" applyNumberFormat="1" applyFont="1" applyFill="1" applyBorder="1" applyAlignment="1" applyProtection="1">
      <alignment horizontal="center"/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165" fontId="4" fillId="6" borderId="3" xfId="0" applyNumberFormat="1" applyFont="1" applyFill="1" applyBorder="1" applyAlignment="1" applyProtection="1">
      <alignment horizontal="center"/>
      <protection locked="0"/>
    </xf>
    <xf numFmtId="166" fontId="4" fillId="0" borderId="0" xfId="3" applyNumberFormat="1" applyFont="1" applyAlignment="1" applyProtection="1">
      <protection locked="0"/>
    </xf>
    <xf numFmtId="167" fontId="4" fillId="4" borderId="3" xfId="4" applyNumberFormat="1" applyFont="1" applyFill="1" applyBorder="1" applyAlignment="1">
      <alignment horizontal="center"/>
    </xf>
    <xf numFmtId="169" fontId="4" fillId="4" borderId="3" xfId="4" applyNumberFormat="1" applyFont="1" applyFill="1" applyBorder="1" applyAlignment="1">
      <alignment horizontal="center"/>
    </xf>
    <xf numFmtId="164" fontId="4" fillId="0" borderId="0" xfId="3" applyFont="1" applyFill="1" applyAlignment="1" applyProtection="1">
      <alignment horizontal="left"/>
      <protection locked="0"/>
    </xf>
    <xf numFmtId="1" fontId="4" fillId="0" borderId="0" xfId="3" applyNumberFormat="1" applyFont="1" applyFill="1" applyAlignment="1" applyProtection="1">
      <alignment horizontal="right"/>
      <protection locked="0"/>
    </xf>
    <xf numFmtId="165" fontId="4" fillId="4" borderId="3" xfId="0" applyNumberFormat="1" applyFont="1" applyFill="1" applyBorder="1" applyAlignment="1" applyProtection="1">
      <alignment horizontal="center"/>
      <protection locked="0"/>
    </xf>
    <xf numFmtId="1" fontId="5" fillId="0" borderId="0" xfId="3" applyNumberFormat="1" applyFont="1" applyAlignment="1" applyProtection="1">
      <alignment horizontal="right"/>
      <protection locked="0"/>
    </xf>
    <xf numFmtId="164" fontId="7" fillId="0" borderId="0" xfId="3" applyFont="1" applyAlignment="1" applyProtection="1">
      <alignment horizontal="left"/>
      <protection locked="0"/>
    </xf>
    <xf numFmtId="169" fontId="4" fillId="0" borderId="0" xfId="3" applyNumberFormat="1" applyFont="1" applyFill="1" applyAlignment="1" applyProtection="1">
      <alignment horizontal="right"/>
      <protection locked="0"/>
    </xf>
    <xf numFmtId="169" fontId="4" fillId="0" borderId="0" xfId="3" applyNumberFormat="1" applyFont="1" applyAlignment="1" applyProtection="1">
      <alignment horizontal="right"/>
      <protection locked="0"/>
    </xf>
    <xf numFmtId="169" fontId="3" fillId="0" borderId="5" xfId="3" applyNumberFormat="1" applyFont="1" applyBorder="1" applyAlignment="1" applyProtection="1">
      <alignment horizontal="right"/>
      <protection locked="0"/>
    </xf>
    <xf numFmtId="167" fontId="3" fillId="0" borderId="5" xfId="3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3" fillId="0" borderId="0" xfId="0" applyFont="1"/>
    <xf numFmtId="0" fontId="4" fillId="0" borderId="0" xfId="0" applyFont="1" applyFill="1" applyBorder="1" applyProtection="1"/>
    <xf numFmtId="166" fontId="4" fillId="0" borderId="0" xfId="3" applyNumberFormat="1" applyFont="1" applyAlignment="1"/>
    <xf numFmtId="0" fontId="4" fillId="0" borderId="0" xfId="4" applyFont="1" applyAlignment="1"/>
    <xf numFmtId="166" fontId="4" fillId="0" borderId="0" xfId="3" applyNumberFormat="1" applyFont="1" applyAlignment="1">
      <alignment horizontal="right"/>
    </xf>
    <xf numFmtId="0" fontId="4" fillId="0" borderId="0" xfId="0" applyFont="1" applyAlignment="1" applyProtection="1"/>
    <xf numFmtId="0" fontId="7" fillId="0" borderId="0" xfId="5" applyFont="1" applyAlignment="1" applyProtection="1"/>
    <xf numFmtId="0" fontId="4" fillId="0" borderId="0" xfId="6" applyFont="1" applyAlignment="1" applyProtection="1"/>
    <xf numFmtId="0" fontId="4" fillId="0" borderId="0" xfId="7" applyFont="1" applyAlignment="1"/>
    <xf numFmtId="0" fontId="4" fillId="0" borderId="0" xfId="7" applyFont="1" applyAlignment="1">
      <alignment horizontal="left"/>
    </xf>
    <xf numFmtId="0" fontId="3" fillId="8" borderId="4" xfId="7" applyFont="1" applyFill="1" applyBorder="1" applyAlignment="1">
      <alignment horizontal="center"/>
    </xf>
    <xf numFmtId="0" fontId="3" fillId="8" borderId="6" xfId="7" applyFont="1" applyFill="1" applyBorder="1" applyAlignment="1">
      <alignment horizontal="center"/>
    </xf>
    <xf numFmtId="0" fontId="4" fillId="0" borderId="6" xfId="7" applyFont="1" applyBorder="1" applyAlignment="1">
      <alignment horizontal="center"/>
    </xf>
    <xf numFmtId="171" fontId="4" fillId="0" borderId="0" xfId="0" applyNumberFormat="1" applyFont="1" applyFill="1" applyBorder="1" applyProtection="1"/>
    <xf numFmtId="0" fontId="4" fillId="0" borderId="3" xfId="7" applyFont="1" applyBorder="1" applyAlignment="1">
      <alignment horizontal="center"/>
    </xf>
    <xf numFmtId="167" fontId="4" fillId="0" borderId="0" xfId="3" applyNumberFormat="1" applyFont="1" applyAlignment="1" applyProtection="1">
      <alignment horizontal="right"/>
      <protection locked="0"/>
    </xf>
    <xf numFmtId="2" fontId="4" fillId="0" borderId="0" xfId="3" applyNumberFormat="1" applyFont="1" applyAlignment="1" applyProtection="1">
      <alignment horizontal="right"/>
      <protection locked="0"/>
    </xf>
    <xf numFmtId="3" fontId="4" fillId="0" borderId="0" xfId="3" applyNumberFormat="1" applyFont="1" applyAlignment="1" applyProtection="1">
      <alignment horizontal="right"/>
      <protection locked="0"/>
    </xf>
    <xf numFmtId="164" fontId="4" fillId="4" borderId="0" xfId="3" applyFont="1" applyFill="1" applyAlignment="1"/>
    <xf numFmtId="169" fontId="4" fillId="0" borderId="0" xfId="3" applyNumberFormat="1" applyFont="1" applyFill="1" applyAlignment="1">
      <alignment horizontal="right"/>
    </xf>
    <xf numFmtId="164" fontId="4" fillId="4" borderId="8" xfId="3" applyFont="1" applyFill="1" applyBorder="1" applyAlignment="1"/>
    <xf numFmtId="169" fontId="4" fillId="0" borderId="8" xfId="3" applyNumberFormat="1" applyFont="1" applyFill="1" applyBorder="1" applyAlignment="1">
      <alignment horizontal="right"/>
    </xf>
    <xf numFmtId="172" fontId="4" fillId="0" borderId="8" xfId="3" applyNumberFormat="1" applyFont="1" applyFill="1" applyBorder="1" applyAlignment="1">
      <alignment horizontal="right"/>
    </xf>
    <xf numFmtId="164" fontId="3" fillId="4" borderId="0" xfId="3" applyFont="1" applyFill="1" applyAlignment="1"/>
    <xf numFmtId="169" fontId="3" fillId="0" borderId="0" xfId="3" applyNumberFormat="1" applyFont="1" applyFill="1" applyAlignment="1">
      <alignment horizontal="right"/>
    </xf>
    <xf numFmtId="166" fontId="4" fillId="0" borderId="0" xfId="3" applyNumberFormat="1" applyFont="1" applyBorder="1" applyAlignment="1"/>
    <xf numFmtId="169" fontId="4" fillId="0" borderId="0" xfId="3" applyNumberFormat="1" applyFont="1" applyBorder="1" applyAlignment="1" applyProtection="1">
      <alignment horizontal="right"/>
      <protection locked="0"/>
    </xf>
    <xf numFmtId="164" fontId="4" fillId="0" borderId="0" xfId="3" applyFont="1" applyBorder="1" applyAlignment="1"/>
    <xf numFmtId="167" fontId="4" fillId="0" borderId="0" xfId="3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0" applyFont="1"/>
    <xf numFmtId="169" fontId="4" fillId="6" borderId="0" xfId="3" applyNumberFormat="1" applyFont="1" applyFill="1" applyBorder="1" applyAlignment="1" applyProtection="1">
      <alignment horizontal="right"/>
      <protection locked="0"/>
    </xf>
    <xf numFmtId="169" fontId="4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6" borderId="0" xfId="0" applyNumberFormat="1" applyFont="1" applyFill="1" applyAlignment="1">
      <alignment horizontal="center"/>
    </xf>
    <xf numFmtId="164" fontId="4" fillId="0" borderId="0" xfId="3" applyFont="1" applyFill="1" applyAlignment="1"/>
    <xf numFmtId="164" fontId="4" fillId="0" borderId="0" xfId="3" applyFont="1" applyFill="1" applyAlignment="1">
      <alignment horizontal="right"/>
    </xf>
    <xf numFmtId="164" fontId="4" fillId="0" borderId="0" xfId="3" applyFont="1" applyAlignment="1">
      <alignment horizontal="left"/>
    </xf>
    <xf numFmtId="3" fontId="4" fillId="2" borderId="3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8" fontId="4" fillId="2" borderId="3" xfId="4" applyNumberFormat="1" applyFont="1" applyFill="1" applyBorder="1" applyAlignment="1">
      <alignment horizontal="center"/>
    </xf>
    <xf numFmtId="0" fontId="12" fillId="0" borderId="0" xfId="0" applyFont="1"/>
    <xf numFmtId="6" fontId="4" fillId="0" borderId="9" xfId="0" applyNumberFormat="1" applyFont="1" applyBorder="1"/>
    <xf numFmtId="6" fontId="4" fillId="0" borderId="4" xfId="0" applyNumberFormat="1" applyFont="1" applyBorder="1"/>
    <xf numFmtId="6" fontId="4" fillId="0" borderId="10" xfId="0" applyNumberFormat="1" applyFont="1" applyBorder="1"/>
    <xf numFmtId="6" fontId="4" fillId="0" borderId="12" xfId="0" applyNumberFormat="1" applyFont="1" applyBorder="1"/>
    <xf numFmtId="6" fontId="4" fillId="6" borderId="10" xfId="0" applyNumberFormat="1" applyFont="1" applyFill="1" applyBorder="1"/>
    <xf numFmtId="6" fontId="4" fillId="4" borderId="10" xfId="0" applyNumberFormat="1" applyFont="1" applyFill="1" applyBorder="1"/>
    <xf numFmtId="6" fontId="4" fillId="4" borderId="12" xfId="0" applyNumberFormat="1" applyFont="1" applyFill="1" applyBorder="1"/>
    <xf numFmtId="6" fontId="4" fillId="0" borderId="11" xfId="0" applyNumberFormat="1" applyFont="1" applyBorder="1"/>
    <xf numFmtId="6" fontId="4" fillId="4" borderId="11" xfId="0" applyNumberFormat="1" applyFont="1" applyFill="1" applyBorder="1"/>
    <xf numFmtId="6" fontId="4" fillId="4" borderId="6" xfId="0" applyNumberFormat="1" applyFont="1" applyFill="1" applyBorder="1"/>
    <xf numFmtId="164" fontId="4" fillId="0" borderId="0" xfId="3" applyFont="1" applyAlignment="1">
      <alignment horizontal="center"/>
    </xf>
    <xf numFmtId="167" fontId="4" fillId="0" borderId="0" xfId="3" applyNumberFormat="1" applyFont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170" fontId="4" fillId="0" borderId="0" xfId="0" applyNumberFormat="1" applyFont="1" applyFill="1" applyBorder="1" applyAlignment="1" applyProtection="1">
      <alignment horizontal="center"/>
    </xf>
    <xf numFmtId="174" fontId="4" fillId="0" borderId="0" xfId="0" applyNumberFormat="1" applyFont="1" applyFill="1" applyBorder="1" applyAlignment="1" applyProtection="1">
      <alignment horizontal="center"/>
    </xf>
    <xf numFmtId="166" fontId="4" fillId="0" borderId="0" xfId="3" applyNumberFormat="1" applyFont="1" applyAlignment="1">
      <alignment horizontal="center"/>
    </xf>
    <xf numFmtId="0" fontId="13" fillId="5" borderId="0" xfId="0" applyFont="1" applyFill="1" applyAlignment="1">
      <alignment horizontal="left"/>
    </xf>
    <xf numFmtId="169" fontId="3" fillId="0" borderId="7" xfId="3" applyNumberFormat="1" applyFont="1" applyBorder="1" applyAlignment="1" applyProtection="1">
      <alignment horizontal="center"/>
      <protection locked="0"/>
    </xf>
    <xf numFmtId="164" fontId="14" fillId="2" borderId="0" xfId="3" applyFont="1" applyFill="1" applyAlignment="1">
      <alignment horizontal="left"/>
    </xf>
    <xf numFmtId="1" fontId="14" fillId="2" borderId="0" xfId="3" applyNumberFormat="1" applyFont="1" applyFill="1" applyAlignment="1" applyProtection="1">
      <alignment horizontal="right"/>
      <protection locked="0"/>
    </xf>
    <xf numFmtId="168" fontId="14" fillId="2" borderId="0" xfId="3" applyNumberFormat="1" applyFont="1" applyFill="1" applyAlignment="1" applyProtection="1">
      <alignment horizontal="right"/>
      <protection locked="0"/>
    </xf>
    <xf numFmtId="173" fontId="14" fillId="2" borderId="0" xfId="0" applyNumberFormat="1" applyFont="1" applyFill="1" applyAlignment="1">
      <alignment horizontal="center"/>
    </xf>
    <xf numFmtId="1" fontId="14" fillId="7" borderId="0" xfId="0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>
      <alignment horizontal="center"/>
    </xf>
    <xf numFmtId="8" fontId="14" fillId="2" borderId="0" xfId="0" applyNumberFormat="1" applyFont="1" applyFill="1" applyAlignment="1">
      <alignment horizontal="center"/>
    </xf>
    <xf numFmtId="174" fontId="14" fillId="7" borderId="0" xfId="0" applyNumberFormat="1" applyFont="1" applyFill="1" applyBorder="1" applyAlignment="1" applyProtection="1">
      <alignment horizontal="center"/>
    </xf>
    <xf numFmtId="169" fontId="14" fillId="7" borderId="0" xfId="0" applyNumberFormat="1" applyFont="1" applyFill="1" applyBorder="1" applyAlignment="1" applyProtection="1">
      <alignment horizontal="center"/>
    </xf>
    <xf numFmtId="10" fontId="14" fillId="2" borderId="0" xfId="2" applyNumberFormat="1" applyFont="1" applyFill="1" applyAlignment="1" applyProtection="1">
      <alignment horizontal="right"/>
      <protection locked="0"/>
    </xf>
    <xf numFmtId="10" fontId="14" fillId="2" borderId="0" xfId="0" applyNumberFormat="1" applyFont="1" applyFill="1" applyBorder="1" applyProtection="1">
      <protection locked="0"/>
    </xf>
    <xf numFmtId="167" fontId="14" fillId="2" borderId="0" xfId="1" applyNumberFormat="1" applyFont="1" applyFill="1" applyBorder="1" applyAlignment="1" applyProtection="1">
      <alignment horizontal="right"/>
      <protection locked="0"/>
    </xf>
    <xf numFmtId="166" fontId="14" fillId="7" borderId="0" xfId="3" applyNumberFormat="1" applyFont="1" applyFill="1" applyBorder="1" applyAlignment="1">
      <alignment horizontal="center"/>
    </xf>
    <xf numFmtId="169" fontId="14" fillId="2" borderId="0" xfId="1" applyNumberFormat="1" applyFont="1" applyFill="1" applyBorder="1" applyAlignment="1" applyProtection="1">
      <alignment horizontal="center"/>
      <protection locked="0"/>
    </xf>
    <xf numFmtId="170" fontId="14" fillId="7" borderId="0" xfId="0" applyNumberFormat="1" applyFont="1" applyFill="1" applyBorder="1" applyAlignment="1" applyProtection="1">
      <alignment horizontal="center"/>
    </xf>
    <xf numFmtId="164" fontId="7" fillId="0" borderId="13" xfId="3" applyFont="1" applyBorder="1" applyAlignment="1" applyProtection="1">
      <alignment horizontal="left"/>
      <protection locked="0"/>
    </xf>
    <xf numFmtId="164" fontId="4" fillId="0" borderId="14" xfId="3" applyFont="1" applyBorder="1" applyAlignment="1"/>
    <xf numFmtId="164" fontId="4" fillId="0" borderId="15" xfId="3" applyFont="1" applyBorder="1" applyAlignment="1"/>
    <xf numFmtId="164" fontId="4" fillId="0" borderId="16" xfId="3" applyFont="1" applyBorder="1" applyAlignment="1"/>
    <xf numFmtId="164" fontId="4" fillId="0" borderId="17" xfId="3" applyFont="1" applyBorder="1" applyAlignment="1"/>
    <xf numFmtId="164" fontId="4" fillId="0" borderId="16" xfId="3" applyFont="1" applyBorder="1" applyAlignment="1" applyProtection="1">
      <alignment horizontal="left"/>
      <protection locked="0"/>
    </xf>
    <xf numFmtId="167" fontId="3" fillId="0" borderId="17" xfId="3" applyNumberFormat="1" applyFont="1" applyBorder="1" applyAlignment="1" applyProtection="1">
      <alignment horizontal="right"/>
      <protection locked="0"/>
    </xf>
    <xf numFmtId="167" fontId="4" fillId="0" borderId="17" xfId="3" applyNumberFormat="1" applyFont="1" applyBorder="1" applyAlignment="1" applyProtection="1">
      <alignment horizontal="right"/>
      <protection locked="0"/>
    </xf>
    <xf numFmtId="164" fontId="9" fillId="0" borderId="16" xfId="3" applyFont="1" applyBorder="1" applyAlignment="1"/>
    <xf numFmtId="164" fontId="4" fillId="0" borderId="18" xfId="3" applyFont="1" applyBorder="1" applyAlignment="1"/>
    <xf numFmtId="169" fontId="3" fillId="0" borderId="19" xfId="3" applyNumberFormat="1" applyFont="1" applyBorder="1" applyAlignment="1" applyProtection="1">
      <alignment horizontal="right"/>
      <protection locked="0"/>
    </xf>
    <xf numFmtId="167" fontId="3" fillId="0" borderId="20" xfId="3" applyNumberFormat="1" applyFont="1" applyBorder="1" applyAlignment="1" applyProtection="1">
      <alignment horizontal="right"/>
      <protection locked="0"/>
    </xf>
  </cellXfs>
  <cellStyles count="8">
    <cellStyle name="Arial  - Style1" xfId="6"/>
    <cellStyle name="Bold A - Style3" xfId="5"/>
    <cellStyle name="Currency" xfId="1" builtinId="4"/>
    <cellStyle name="Normal" xfId="0" builtinId="0"/>
    <cellStyle name="Normal 2" xfId="7"/>
    <cellStyle name="Normal 3" xfId="4"/>
    <cellStyle name="Normal_AGIST" xfId="3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9"/>
  <sheetViews>
    <sheetView showGridLines="0" tabSelected="1" topLeftCell="A52" zoomScale="75" zoomScaleNormal="75" workbookViewId="0">
      <selection activeCell="J73" sqref="J73"/>
    </sheetView>
  </sheetViews>
  <sheetFormatPr defaultColWidth="13.28515625" defaultRowHeight="15" x14ac:dyDescent="0.2"/>
  <cols>
    <col min="1" max="1" width="13.28515625" style="3"/>
    <col min="2" max="2" width="69.7109375" style="3" customWidth="1"/>
    <col min="3" max="3" width="21.85546875" style="5" customWidth="1"/>
    <col min="4" max="4" width="18.28515625" style="3" customWidth="1"/>
    <col min="5" max="5" width="18.42578125" style="3" customWidth="1"/>
    <col min="6" max="6" width="13.140625" style="3" bestFit="1" customWidth="1"/>
    <col min="7" max="7" width="13.7109375" style="3" customWidth="1"/>
    <col min="8" max="8" width="13.28515625" style="3"/>
    <col min="9" max="9" width="17.7109375" style="3" customWidth="1"/>
    <col min="10" max="10" width="44.85546875" style="3" customWidth="1"/>
    <col min="11" max="11" width="18.7109375" style="3" customWidth="1"/>
    <col min="12" max="12" width="15.42578125" style="3" bestFit="1" customWidth="1"/>
    <col min="13" max="13" width="14.28515625" style="3" customWidth="1"/>
    <col min="14" max="17" width="13.85546875" style="3" bestFit="1" customWidth="1"/>
    <col min="18" max="16384" width="13.28515625" style="3"/>
  </cols>
  <sheetData>
    <row r="2" spans="2:18" ht="15.75" x14ac:dyDescent="0.25">
      <c r="B2" s="1" t="s">
        <v>97</v>
      </c>
      <c r="C2" s="2"/>
      <c r="D2" s="2"/>
      <c r="E2" s="2"/>
      <c r="F2" s="2"/>
    </row>
    <row r="3" spans="2:18" ht="15.75" x14ac:dyDescent="0.25">
      <c r="B3" s="2"/>
      <c r="C3" s="2"/>
      <c r="D3" s="2"/>
      <c r="E3" s="2"/>
      <c r="F3" s="2"/>
    </row>
    <row r="4" spans="2:18" ht="15.75" x14ac:dyDescent="0.25">
      <c r="B4" s="4" t="s">
        <v>0</v>
      </c>
      <c r="J4" s="6" t="s">
        <v>1</v>
      </c>
      <c r="K4" s="7"/>
      <c r="M4" s="3" t="s">
        <v>2</v>
      </c>
    </row>
    <row r="5" spans="2:18" ht="15.75" x14ac:dyDescent="0.25">
      <c r="B5" s="2"/>
      <c r="C5" s="2"/>
      <c r="D5" s="2"/>
      <c r="E5" s="2"/>
      <c r="F5" s="2"/>
      <c r="J5" s="8"/>
      <c r="K5" s="8"/>
    </row>
    <row r="6" spans="2:18" ht="15.75" x14ac:dyDescent="0.25">
      <c r="C6" s="9" t="s">
        <v>3</v>
      </c>
      <c r="D6" s="9" t="s">
        <v>4</v>
      </c>
      <c r="J6" s="10" t="s">
        <v>5</v>
      </c>
      <c r="K6" s="11">
        <f>C17</f>
        <v>450</v>
      </c>
      <c r="M6" s="11">
        <f>K6</f>
        <v>450</v>
      </c>
      <c r="N6" s="11">
        <f>M6</f>
        <v>450</v>
      </c>
      <c r="O6" s="11">
        <f t="shared" ref="O6:Q8" si="0">N6</f>
        <v>450</v>
      </c>
      <c r="P6" s="11">
        <f t="shared" si="0"/>
        <v>450</v>
      </c>
      <c r="Q6" s="11">
        <f t="shared" si="0"/>
        <v>450</v>
      </c>
      <c r="R6" s="73"/>
    </row>
    <row r="7" spans="2:18" x14ac:dyDescent="0.2">
      <c r="B7" s="12" t="s">
        <v>6</v>
      </c>
      <c r="C7" s="13" t="s">
        <v>74</v>
      </c>
      <c r="D7" s="73"/>
      <c r="J7" s="10" t="s">
        <v>7</v>
      </c>
      <c r="K7" s="14">
        <v>0.05</v>
      </c>
      <c r="L7" s="15"/>
      <c r="M7" s="16">
        <f>K7</f>
        <v>0.05</v>
      </c>
      <c r="N7" s="16">
        <f>M7</f>
        <v>0.05</v>
      </c>
      <c r="O7" s="16">
        <f t="shared" si="0"/>
        <v>0.05</v>
      </c>
      <c r="P7" s="16">
        <f t="shared" si="0"/>
        <v>0.05</v>
      </c>
      <c r="Q7" s="16">
        <f t="shared" si="0"/>
        <v>0.05</v>
      </c>
      <c r="R7" s="73"/>
    </row>
    <row r="8" spans="2:18" x14ac:dyDescent="0.2">
      <c r="B8" s="12" t="s">
        <v>8</v>
      </c>
      <c r="C8" s="93" t="s">
        <v>9</v>
      </c>
      <c r="D8" s="73"/>
      <c r="J8" s="10" t="s">
        <v>10</v>
      </c>
      <c r="K8" s="11">
        <f t="shared" ref="K8" si="1">K6*(1-K7)</f>
        <v>427.5</v>
      </c>
      <c r="L8" s="15"/>
      <c r="M8" s="11">
        <f>K8</f>
        <v>427.5</v>
      </c>
      <c r="N8" s="11">
        <f>M8</f>
        <v>427.5</v>
      </c>
      <c r="O8" s="11">
        <f t="shared" si="0"/>
        <v>427.5</v>
      </c>
      <c r="P8" s="11">
        <f t="shared" si="0"/>
        <v>427.5</v>
      </c>
      <c r="Q8" s="11">
        <f t="shared" si="0"/>
        <v>427.5</v>
      </c>
      <c r="R8" s="73"/>
    </row>
    <row r="9" spans="2:18" x14ac:dyDescent="0.2">
      <c r="J9" s="10" t="s">
        <v>11</v>
      </c>
      <c r="K9" s="17">
        <v>2</v>
      </c>
      <c r="L9" s="15"/>
      <c r="M9" s="18">
        <f>C84</f>
        <v>1.6</v>
      </c>
      <c r="N9" s="18">
        <f>D84</f>
        <v>1.8</v>
      </c>
      <c r="O9" s="18">
        <f>E84</f>
        <v>2</v>
      </c>
      <c r="P9" s="18">
        <f>F84</f>
        <v>2.2000000000000002</v>
      </c>
      <c r="Q9" s="18">
        <f>G84</f>
        <v>2.4000000000000004</v>
      </c>
      <c r="R9" s="73"/>
    </row>
    <row r="10" spans="2:18" x14ac:dyDescent="0.2">
      <c r="B10" s="12" t="s">
        <v>12</v>
      </c>
      <c r="C10" s="94">
        <v>500</v>
      </c>
      <c r="D10" s="12"/>
      <c r="F10" s="19"/>
      <c r="G10" s="12"/>
      <c r="J10" s="10" t="s">
        <v>13</v>
      </c>
      <c r="K10" s="20">
        <f t="shared" ref="K10:Q10" si="2">K9*K8</f>
        <v>855</v>
      </c>
      <c r="L10" s="15"/>
      <c r="M10" s="20">
        <f t="shared" si="2"/>
        <v>684</v>
      </c>
      <c r="N10" s="20">
        <f t="shared" si="2"/>
        <v>769.5</v>
      </c>
      <c r="O10" s="20">
        <f t="shared" si="2"/>
        <v>855</v>
      </c>
      <c r="P10" s="20">
        <f t="shared" si="2"/>
        <v>940.50000000000011</v>
      </c>
      <c r="Q10" s="20">
        <f t="shared" si="2"/>
        <v>1026.0000000000002</v>
      </c>
      <c r="R10" s="73"/>
    </row>
    <row r="11" spans="2:18" x14ac:dyDescent="0.2">
      <c r="B11" s="12" t="s">
        <v>14</v>
      </c>
      <c r="C11" s="95">
        <v>43586</v>
      </c>
      <c r="G11" s="12"/>
      <c r="J11" s="10" t="s">
        <v>15</v>
      </c>
      <c r="K11" s="14">
        <v>3.5000000000000003E-2</v>
      </c>
      <c r="L11" s="15"/>
      <c r="M11" s="16">
        <f>K11</f>
        <v>3.5000000000000003E-2</v>
      </c>
      <c r="N11" s="16">
        <f>M11</f>
        <v>3.5000000000000003E-2</v>
      </c>
      <c r="O11" s="16">
        <f t="shared" ref="O11:Q11" si="3">N11</f>
        <v>3.5000000000000003E-2</v>
      </c>
      <c r="P11" s="16">
        <f t="shared" si="3"/>
        <v>3.5000000000000003E-2</v>
      </c>
      <c r="Q11" s="16">
        <f t="shared" si="3"/>
        <v>3.5000000000000003E-2</v>
      </c>
      <c r="R11" s="73"/>
    </row>
    <row r="12" spans="2:18" x14ac:dyDescent="0.2">
      <c r="B12" s="12" t="s">
        <v>16</v>
      </c>
      <c r="C12" s="95">
        <v>43951</v>
      </c>
      <c r="G12" s="12"/>
      <c r="J12" s="10" t="s">
        <v>17</v>
      </c>
      <c r="K12" s="21">
        <f t="shared" ref="K12:Q12" si="4">K11*K10</f>
        <v>29.925000000000004</v>
      </c>
      <c r="L12" s="15"/>
      <c r="M12" s="21">
        <f t="shared" si="4"/>
        <v>23.94</v>
      </c>
      <c r="N12" s="21">
        <f t="shared" si="4"/>
        <v>26.932500000000001</v>
      </c>
      <c r="O12" s="21">
        <f t="shared" si="4"/>
        <v>29.925000000000004</v>
      </c>
      <c r="P12" s="21">
        <f t="shared" si="4"/>
        <v>32.917500000000004</v>
      </c>
      <c r="Q12" s="21">
        <f t="shared" si="4"/>
        <v>35.910000000000011</v>
      </c>
      <c r="R12" s="73"/>
    </row>
    <row r="13" spans="2:18" x14ac:dyDescent="0.2">
      <c r="B13" s="22" t="s">
        <v>18</v>
      </c>
      <c r="C13" s="23">
        <f>C12-C11</f>
        <v>365</v>
      </c>
      <c r="D13" s="22"/>
      <c r="F13" s="23"/>
      <c r="G13" s="12"/>
      <c r="J13" s="10" t="s">
        <v>19</v>
      </c>
      <c r="K13" s="17">
        <v>15</v>
      </c>
      <c r="L13" s="15"/>
      <c r="M13" s="24">
        <f>K13</f>
        <v>15</v>
      </c>
      <c r="N13" s="24">
        <f>M13</f>
        <v>15</v>
      </c>
      <c r="O13" s="24">
        <f t="shared" ref="O13:Q14" si="5">N13</f>
        <v>15</v>
      </c>
      <c r="P13" s="24">
        <f t="shared" si="5"/>
        <v>15</v>
      </c>
      <c r="Q13" s="24">
        <f t="shared" si="5"/>
        <v>15</v>
      </c>
      <c r="R13" s="73"/>
    </row>
    <row r="14" spans="2:18" x14ac:dyDescent="0.2">
      <c r="B14" s="22" t="s">
        <v>20</v>
      </c>
      <c r="C14" s="23">
        <f>C13/7</f>
        <v>52.142857142857146</v>
      </c>
      <c r="D14" s="22"/>
      <c r="F14" s="23"/>
      <c r="G14" s="12"/>
      <c r="J14" s="10" t="s">
        <v>21</v>
      </c>
      <c r="K14" s="17">
        <v>18.75</v>
      </c>
      <c r="L14" s="15"/>
      <c r="M14" s="24">
        <f>K14</f>
        <v>18.75</v>
      </c>
      <c r="N14" s="24">
        <f>M14</f>
        <v>18.75</v>
      </c>
      <c r="O14" s="24">
        <f t="shared" si="5"/>
        <v>18.75</v>
      </c>
      <c r="P14" s="24">
        <f t="shared" si="5"/>
        <v>18.75</v>
      </c>
      <c r="Q14" s="24">
        <f t="shared" si="5"/>
        <v>18.75</v>
      </c>
      <c r="R14" s="73"/>
    </row>
    <row r="15" spans="2:18" x14ac:dyDescent="0.2">
      <c r="B15" s="12"/>
      <c r="C15" s="25"/>
      <c r="D15" s="12"/>
      <c r="F15" s="19"/>
      <c r="G15" s="12"/>
      <c r="J15" s="10" t="s">
        <v>22</v>
      </c>
      <c r="K15" s="21">
        <f t="shared" ref="K15:Q15" si="6">K10-K12-K13-K14</f>
        <v>791.32500000000005</v>
      </c>
      <c r="L15" s="15"/>
      <c r="M15" s="21">
        <f t="shared" si="6"/>
        <v>626.30999999999995</v>
      </c>
      <c r="N15" s="21">
        <f t="shared" si="6"/>
        <v>708.8175</v>
      </c>
      <c r="O15" s="21">
        <f t="shared" si="6"/>
        <v>791.32500000000005</v>
      </c>
      <c r="P15" s="21">
        <f t="shared" si="6"/>
        <v>873.8325000000001</v>
      </c>
      <c r="Q15" s="21">
        <f t="shared" si="6"/>
        <v>956.34000000000026</v>
      </c>
      <c r="R15" s="73"/>
    </row>
    <row r="16" spans="2:18" ht="15.75" x14ac:dyDescent="0.25">
      <c r="B16" s="26" t="s">
        <v>23</v>
      </c>
      <c r="C16" s="25"/>
      <c r="D16" s="12"/>
      <c r="F16" s="19"/>
      <c r="G16" s="12"/>
      <c r="J16" s="10" t="s">
        <v>24</v>
      </c>
      <c r="K16" s="11">
        <f t="shared" ref="K16" si="7">K6</f>
        <v>450</v>
      </c>
      <c r="L16" s="15"/>
      <c r="M16" s="11">
        <f>K16</f>
        <v>450</v>
      </c>
      <c r="N16" s="11">
        <f>M16</f>
        <v>450</v>
      </c>
      <c r="O16" s="11">
        <f t="shared" ref="O16:Q16" si="8">N16</f>
        <v>450</v>
      </c>
      <c r="P16" s="11">
        <f t="shared" si="8"/>
        <v>450</v>
      </c>
      <c r="Q16" s="11">
        <f t="shared" si="8"/>
        <v>450</v>
      </c>
      <c r="R16" s="73"/>
    </row>
    <row r="17" spans="2:18" x14ac:dyDescent="0.2">
      <c r="B17" s="12" t="s">
        <v>25</v>
      </c>
      <c r="C17" s="94">
        <v>450</v>
      </c>
      <c r="G17" s="12"/>
      <c r="J17" s="10" t="s">
        <v>26</v>
      </c>
      <c r="K17" s="21">
        <f t="shared" ref="K17:Q17" si="9">IF(K8&gt;0,(K12+K13+K14)/K8,0)</f>
        <v>0.14894736842105263</v>
      </c>
      <c r="L17" s="15"/>
      <c r="M17" s="21">
        <f t="shared" si="9"/>
        <v>0.13494736842105262</v>
      </c>
      <c r="N17" s="21">
        <f t="shared" si="9"/>
        <v>0.14194736842105266</v>
      </c>
      <c r="O17" s="21">
        <f t="shared" si="9"/>
        <v>0.14894736842105263</v>
      </c>
      <c r="P17" s="21">
        <f t="shared" si="9"/>
        <v>0.15594736842105264</v>
      </c>
      <c r="Q17" s="21">
        <f t="shared" si="9"/>
        <v>0.16294736842105265</v>
      </c>
      <c r="R17" s="73"/>
    </row>
    <row r="18" spans="2:18" x14ac:dyDescent="0.2">
      <c r="B18" s="12" t="s">
        <v>27</v>
      </c>
      <c r="C18" s="27">
        <f>K18</f>
        <v>1.7585000000000002</v>
      </c>
      <c r="E18" s="12" t="s">
        <v>28</v>
      </c>
      <c r="F18" s="28"/>
      <c r="G18" s="12"/>
      <c r="J18" s="10" t="s">
        <v>29</v>
      </c>
      <c r="K18" s="21">
        <f t="shared" ref="K18:Q18" si="10">IF(K16&gt;0,K15/K16,0)</f>
        <v>1.7585000000000002</v>
      </c>
      <c r="L18" s="15"/>
      <c r="M18" s="21">
        <f t="shared" si="10"/>
        <v>1.3917999999999999</v>
      </c>
      <c r="N18" s="21">
        <f t="shared" si="10"/>
        <v>1.5751500000000001</v>
      </c>
      <c r="O18" s="21">
        <f t="shared" si="10"/>
        <v>1.7585000000000002</v>
      </c>
      <c r="P18" s="21">
        <f t="shared" si="10"/>
        <v>1.9418500000000003</v>
      </c>
      <c r="Q18" s="21">
        <f t="shared" si="10"/>
        <v>2.1252000000000004</v>
      </c>
      <c r="R18" s="73"/>
    </row>
    <row r="19" spans="2:18" ht="16.5" thickBot="1" x14ac:dyDescent="0.3">
      <c r="B19" s="1" t="s">
        <v>30</v>
      </c>
      <c r="C19" s="29">
        <f>C18*C17</f>
        <v>791.32500000000005</v>
      </c>
      <c r="D19" s="30">
        <f>C19*C10</f>
        <v>395662.5</v>
      </c>
      <c r="F19" s="31"/>
      <c r="G19" s="31"/>
      <c r="K19" s="84" t="s">
        <v>57</v>
      </c>
      <c r="L19" s="15"/>
      <c r="M19" s="85">
        <f t="shared" ref="M19:N19" si="11">M6*$C$56*M18*-1</f>
        <v>-15657.75</v>
      </c>
      <c r="N19" s="85">
        <f t="shared" si="11"/>
        <v>-17720.4375</v>
      </c>
      <c r="O19" s="85">
        <f>O6*$C$56*O18*-1</f>
        <v>-19783.125000000004</v>
      </c>
      <c r="P19" s="85">
        <f t="shared" ref="P19:Q19" si="12">P6*$C$56*P18*-1</f>
        <v>-21845.812500000004</v>
      </c>
      <c r="Q19" s="85">
        <f t="shared" si="12"/>
        <v>-23908.500000000004</v>
      </c>
    </row>
    <row r="20" spans="2:18" ht="15.75" thickTop="1" x14ac:dyDescent="0.2">
      <c r="B20" s="31"/>
      <c r="C20" s="31"/>
      <c r="D20" s="31"/>
      <c r="F20" s="31"/>
      <c r="G20" s="31"/>
      <c r="L20" s="15"/>
    </row>
    <row r="21" spans="2:18" ht="15.75" x14ac:dyDescent="0.25">
      <c r="B21" s="26" t="s">
        <v>31</v>
      </c>
      <c r="C21" s="25"/>
      <c r="G21" s="12"/>
      <c r="L21" s="15"/>
    </row>
    <row r="22" spans="2:18" ht="15.75" x14ac:dyDescent="0.25">
      <c r="B22" s="32" t="s">
        <v>75</v>
      </c>
      <c r="C22" s="31"/>
      <c r="G22" s="12"/>
      <c r="J22" s="6" t="s">
        <v>32</v>
      </c>
      <c r="K22" s="7"/>
      <c r="L22" s="15"/>
    </row>
    <row r="23" spans="2:18" x14ac:dyDescent="0.2">
      <c r="B23" s="33" t="s">
        <v>76</v>
      </c>
      <c r="C23" s="90">
        <f>C10</f>
        <v>500</v>
      </c>
      <c r="G23" s="12"/>
      <c r="J23" s="35"/>
      <c r="K23" s="35"/>
      <c r="L23" s="15"/>
    </row>
    <row r="24" spans="2:18" x14ac:dyDescent="0.2">
      <c r="B24" s="86" t="s">
        <v>78</v>
      </c>
      <c r="C24" s="96">
        <v>43586</v>
      </c>
      <c r="D24" s="86" t="s">
        <v>79</v>
      </c>
      <c r="E24" s="96">
        <v>43861</v>
      </c>
      <c r="G24" s="12"/>
      <c r="J24" s="35"/>
      <c r="K24" s="35"/>
      <c r="L24" s="15"/>
    </row>
    <row r="25" spans="2:18" x14ac:dyDescent="0.2">
      <c r="B25" s="86" t="s">
        <v>77</v>
      </c>
      <c r="C25" s="97">
        <f>E24-C24</f>
        <v>275</v>
      </c>
      <c r="D25" s="36">
        <f>C25/7</f>
        <v>39.285714285714285</v>
      </c>
      <c r="E25" s="3" t="s">
        <v>33</v>
      </c>
      <c r="G25" s="12"/>
      <c r="J25" s="10" t="s">
        <v>34</v>
      </c>
      <c r="K25" s="70">
        <v>500</v>
      </c>
      <c r="L25" s="37"/>
    </row>
    <row r="26" spans="2:18" ht="15.75" x14ac:dyDescent="0.25">
      <c r="B26" s="1" t="s">
        <v>80</v>
      </c>
      <c r="C26" s="34"/>
      <c r="G26" s="12"/>
      <c r="J26" s="10" t="s">
        <v>35</v>
      </c>
      <c r="K26" s="71">
        <v>250</v>
      </c>
      <c r="L26" s="37"/>
    </row>
    <row r="27" spans="2:18" x14ac:dyDescent="0.2">
      <c r="B27" s="15" t="s">
        <v>84</v>
      </c>
      <c r="C27" s="98">
        <v>26</v>
      </c>
      <c r="D27" s="15" t="s">
        <v>81</v>
      </c>
      <c r="G27" s="12"/>
      <c r="J27" s="10" t="s">
        <v>36</v>
      </c>
      <c r="K27" s="72">
        <v>1.95</v>
      </c>
      <c r="L27" s="37"/>
    </row>
    <row r="28" spans="2:18" x14ac:dyDescent="0.2">
      <c r="B28" s="3" t="s">
        <v>85</v>
      </c>
      <c r="C28" s="98">
        <v>1000</v>
      </c>
      <c r="D28" s="15" t="s">
        <v>82</v>
      </c>
      <c r="G28" s="12"/>
      <c r="J28" s="10" t="s">
        <v>37</v>
      </c>
      <c r="K28" s="71">
        <v>26</v>
      </c>
      <c r="L28" s="15"/>
    </row>
    <row r="29" spans="2:18" x14ac:dyDescent="0.2">
      <c r="B29" s="33" t="s">
        <v>86</v>
      </c>
      <c r="C29" s="99">
        <v>1.95</v>
      </c>
      <c r="D29" s="15" t="s">
        <v>83</v>
      </c>
      <c r="G29" s="12"/>
      <c r="J29" s="10" t="s">
        <v>38</v>
      </c>
      <c r="K29" s="20">
        <f>IF(K25&gt;0,K25*K26*K27/K28,0)</f>
        <v>9375</v>
      </c>
      <c r="L29" s="15"/>
    </row>
    <row r="30" spans="2:18" x14ac:dyDescent="0.2">
      <c r="B30" s="33" t="s">
        <v>87</v>
      </c>
      <c r="C30" s="88">
        <f>C29*C28/C27</f>
        <v>75</v>
      </c>
      <c r="G30" s="12"/>
      <c r="J30" s="10" t="s">
        <v>39</v>
      </c>
      <c r="K30" s="21">
        <f>IF(K25&gt;0,K29/K25,0)</f>
        <v>18.75</v>
      </c>
      <c r="L30" s="15"/>
    </row>
    <row r="31" spans="2:18" x14ac:dyDescent="0.2">
      <c r="B31" s="33" t="s">
        <v>88</v>
      </c>
      <c r="C31" s="88">
        <f>C30*C23</f>
        <v>37500</v>
      </c>
      <c r="G31" s="12"/>
      <c r="J31" s="15"/>
      <c r="K31" s="15"/>
      <c r="L31" s="15"/>
    </row>
    <row r="32" spans="2:18" x14ac:dyDescent="0.2">
      <c r="B32" s="33" t="s">
        <v>89</v>
      </c>
      <c r="C32" s="100">
        <v>2.25</v>
      </c>
      <c r="G32" s="12"/>
      <c r="L32" s="15"/>
    </row>
    <row r="33" spans="2:15" ht="15.75" x14ac:dyDescent="0.25">
      <c r="B33" s="33" t="s">
        <v>90</v>
      </c>
      <c r="C33" s="100">
        <v>2</v>
      </c>
      <c r="G33" s="12"/>
      <c r="J33" s="38" t="s">
        <v>40</v>
      </c>
      <c r="K33" s="39"/>
      <c r="L33" s="15"/>
      <c r="M33" s="15"/>
      <c r="N33" s="15"/>
    </row>
    <row r="34" spans="2:15" x14ac:dyDescent="0.2">
      <c r="B34" s="33" t="s">
        <v>91</v>
      </c>
      <c r="C34" s="101">
        <v>3</v>
      </c>
      <c r="G34" s="12"/>
      <c r="J34" s="40" t="s">
        <v>41</v>
      </c>
      <c r="K34" s="40"/>
      <c r="L34" s="15"/>
      <c r="M34" s="15"/>
      <c r="N34" s="15"/>
    </row>
    <row r="35" spans="2:15" x14ac:dyDescent="0.2">
      <c r="B35" s="33" t="s">
        <v>92</v>
      </c>
      <c r="C35" s="89">
        <f>C34*D25</f>
        <v>117.85714285714286</v>
      </c>
      <c r="G35" s="12"/>
      <c r="J35" s="41" t="s">
        <v>42</v>
      </c>
      <c r="K35" s="35"/>
      <c r="L35" s="31"/>
      <c r="M35" s="31"/>
      <c r="N35" s="31"/>
      <c r="O35" s="31"/>
    </row>
    <row r="36" spans="2:15" ht="15.75" x14ac:dyDescent="0.25">
      <c r="B36" s="33" t="s">
        <v>93</v>
      </c>
      <c r="C36" s="88">
        <f>C35*C23</f>
        <v>58928.571428571428</v>
      </c>
      <c r="G36" s="12"/>
      <c r="J36" s="42" t="s">
        <v>43</v>
      </c>
      <c r="K36" s="42" t="s">
        <v>44</v>
      </c>
      <c r="L36" s="33"/>
      <c r="N36" s="33"/>
      <c r="O36" s="33"/>
    </row>
    <row r="37" spans="2:15" ht="15.75" x14ac:dyDescent="0.25">
      <c r="B37" s="87" t="s">
        <v>94</v>
      </c>
      <c r="C37" s="107">
        <v>20</v>
      </c>
      <c r="G37" s="12"/>
      <c r="J37" s="43" t="s">
        <v>45</v>
      </c>
      <c r="K37" s="43" t="s">
        <v>46</v>
      </c>
      <c r="L37" s="33"/>
      <c r="O37" s="33"/>
    </row>
    <row r="38" spans="2:15" x14ac:dyDescent="0.2">
      <c r="B38" s="87" t="s">
        <v>98</v>
      </c>
      <c r="C38" s="107">
        <v>25</v>
      </c>
      <c r="G38" s="12"/>
      <c r="J38" s="44">
        <v>250</v>
      </c>
      <c r="K38" s="44">
        <v>38</v>
      </c>
      <c r="O38" s="33"/>
    </row>
    <row r="39" spans="2:15" ht="15.75" x14ac:dyDescent="0.25">
      <c r="B39" s="91" t="s">
        <v>95</v>
      </c>
      <c r="C39" s="45"/>
      <c r="G39" s="12"/>
      <c r="J39" s="46">
        <v>300</v>
      </c>
      <c r="K39" s="46">
        <v>34</v>
      </c>
      <c r="L39" s="33"/>
    </row>
    <row r="40" spans="2:15" x14ac:dyDescent="0.2">
      <c r="B40" s="15" t="s">
        <v>84</v>
      </c>
      <c r="C40" s="98">
        <v>26</v>
      </c>
      <c r="G40" s="12"/>
      <c r="J40" s="46">
        <v>350</v>
      </c>
      <c r="K40" s="46">
        <v>30</v>
      </c>
    </row>
    <row r="41" spans="2:15" x14ac:dyDescent="0.2">
      <c r="B41" s="3" t="s">
        <v>85</v>
      </c>
      <c r="C41" s="98">
        <v>1000</v>
      </c>
      <c r="G41" s="12"/>
      <c r="J41" s="46">
        <v>400</v>
      </c>
      <c r="K41" s="46">
        <v>28</v>
      </c>
      <c r="L41" s="33"/>
      <c r="N41" s="33"/>
      <c r="O41" s="33"/>
    </row>
    <row r="42" spans="2:15" x14ac:dyDescent="0.2">
      <c r="B42" s="33" t="s">
        <v>86</v>
      </c>
      <c r="C42" s="99">
        <v>1.95</v>
      </c>
      <c r="J42" s="46">
        <v>450</v>
      </c>
      <c r="K42" s="46">
        <v>26</v>
      </c>
      <c r="L42" s="33"/>
      <c r="N42" s="33"/>
      <c r="O42" s="33"/>
    </row>
    <row r="43" spans="2:15" x14ac:dyDescent="0.2">
      <c r="B43" s="33" t="s">
        <v>87</v>
      </c>
      <c r="C43" s="88">
        <f>C42*C41/C40</f>
        <v>75</v>
      </c>
      <c r="J43" s="46">
        <v>500</v>
      </c>
      <c r="K43" s="46">
        <v>24</v>
      </c>
      <c r="L43" s="33"/>
      <c r="N43" s="33"/>
      <c r="O43" s="33"/>
    </row>
    <row r="44" spans="2:15" ht="16.5" thickBot="1" x14ac:dyDescent="0.3">
      <c r="B44" s="1" t="s">
        <v>96</v>
      </c>
      <c r="C44" s="92">
        <f>C30+C32+C33+C35+C37+C38+C43</f>
        <v>317.10714285714289</v>
      </c>
      <c r="D44" s="30">
        <f>C44*C10</f>
        <v>158553.57142857145</v>
      </c>
      <c r="F44" s="47"/>
      <c r="J44" s="46">
        <v>550</v>
      </c>
      <c r="K44" s="46">
        <v>22</v>
      </c>
      <c r="N44" s="33"/>
      <c r="O44" s="33"/>
    </row>
    <row r="45" spans="2:15" ht="16.5" thickTop="1" x14ac:dyDescent="0.25">
      <c r="B45" s="1"/>
      <c r="C45" s="73"/>
      <c r="D45" s="12"/>
      <c r="F45" s="48"/>
      <c r="J45" s="46">
        <v>600</v>
      </c>
      <c r="K45" s="46">
        <v>20</v>
      </c>
      <c r="L45" s="33"/>
      <c r="N45" s="33"/>
      <c r="O45" s="33"/>
    </row>
    <row r="46" spans="2:15" ht="15.75" x14ac:dyDescent="0.25">
      <c r="B46" s="26" t="s">
        <v>47</v>
      </c>
      <c r="C46" s="49"/>
      <c r="F46" s="48"/>
      <c r="J46" s="46">
        <v>650</v>
      </c>
      <c r="K46" s="46">
        <v>18</v>
      </c>
      <c r="L46" s="33"/>
      <c r="M46" s="33"/>
      <c r="N46" s="33"/>
    </row>
    <row r="47" spans="2:15" x14ac:dyDescent="0.2">
      <c r="B47" s="12" t="s">
        <v>48</v>
      </c>
      <c r="C47" s="102">
        <v>0.05</v>
      </c>
      <c r="D47" s="22"/>
      <c r="F47" s="48"/>
      <c r="L47" s="33"/>
      <c r="M47" s="33"/>
      <c r="N47" s="33"/>
    </row>
    <row r="48" spans="2:15" x14ac:dyDescent="0.2">
      <c r="B48" s="50" t="s">
        <v>49</v>
      </c>
      <c r="C48" s="51">
        <f>C19*(C13/365)*(C47)</f>
        <v>39.566250000000004</v>
      </c>
      <c r="D48" s="47">
        <f>C48*C10</f>
        <v>19783.125000000004</v>
      </c>
      <c r="F48" s="48"/>
      <c r="J48" s="73"/>
      <c r="K48" s="73"/>
    </row>
    <row r="49" spans="2:6" x14ac:dyDescent="0.2">
      <c r="B49" s="52" t="s">
        <v>50</v>
      </c>
      <c r="C49" s="53">
        <f>C44*(C13/2/365)*C47</f>
        <v>7.9276785714285722</v>
      </c>
      <c r="D49" s="54">
        <f>C49*C10</f>
        <v>3963.8392857142862</v>
      </c>
      <c r="F49" s="48"/>
    </row>
    <row r="50" spans="2:6" ht="16.5" thickBot="1" x14ac:dyDescent="0.3">
      <c r="B50" s="55" t="s">
        <v>51</v>
      </c>
      <c r="C50" s="56">
        <f>SUM(C48:C49)</f>
        <v>47.493928571428576</v>
      </c>
      <c r="D50" s="30">
        <f>SUM(D48:D49)</f>
        <v>23746.96428571429</v>
      </c>
      <c r="F50" s="48"/>
    </row>
    <row r="51" spans="2:6" ht="15.75" thickTop="1" x14ac:dyDescent="0.2">
      <c r="B51" s="12"/>
      <c r="C51" s="48"/>
      <c r="D51" s="12"/>
      <c r="F51" s="48"/>
    </row>
    <row r="52" spans="2:6" ht="15.75" x14ac:dyDescent="0.25">
      <c r="B52" s="26" t="s">
        <v>52</v>
      </c>
      <c r="C52" s="3"/>
    </row>
    <row r="53" spans="2:6" x14ac:dyDescent="0.2">
      <c r="B53" s="12" t="s">
        <v>53</v>
      </c>
      <c r="C53" s="103">
        <v>0.9</v>
      </c>
    </row>
    <row r="54" spans="2:6" x14ac:dyDescent="0.2">
      <c r="B54" s="3" t="s">
        <v>54</v>
      </c>
      <c r="C54" s="23">
        <f>C53*C10</f>
        <v>450</v>
      </c>
    </row>
    <row r="55" spans="2:6" x14ac:dyDescent="0.2">
      <c r="B55" s="3" t="s">
        <v>55</v>
      </c>
      <c r="C55" s="103">
        <v>0.05</v>
      </c>
    </row>
    <row r="56" spans="2:6" x14ac:dyDescent="0.2">
      <c r="B56" s="3" t="s">
        <v>56</v>
      </c>
      <c r="C56" s="23">
        <f>C23-(C23*C53)-(C23*C55)</f>
        <v>25</v>
      </c>
    </row>
    <row r="57" spans="2:6" x14ac:dyDescent="0.2">
      <c r="B57" s="3" t="s">
        <v>57</v>
      </c>
      <c r="C57" s="3"/>
      <c r="D57" s="47">
        <f>C56*C17*C18*-1</f>
        <v>-19783.125000000004</v>
      </c>
      <c r="E57" s="3" t="s">
        <v>100</v>
      </c>
    </row>
    <row r="58" spans="2:6" ht="16.5" thickBot="1" x14ac:dyDescent="0.3">
      <c r="B58" s="3" t="s">
        <v>58</v>
      </c>
      <c r="C58" s="29">
        <f>D58/C54</f>
        <v>1240.3998015873015</v>
      </c>
      <c r="D58" s="30">
        <f>D50+D44+D19+D57</f>
        <v>558179.91071428568</v>
      </c>
    </row>
    <row r="59" spans="2:6" ht="15.75" thickTop="1" x14ac:dyDescent="0.2">
      <c r="C59" s="3"/>
    </row>
    <row r="60" spans="2:6" ht="15.75" thickBot="1" x14ac:dyDescent="0.25">
      <c r="C60" s="3"/>
    </row>
    <row r="61" spans="2:6" ht="15.75" x14ac:dyDescent="0.25">
      <c r="B61" s="108" t="s">
        <v>59</v>
      </c>
      <c r="C61" s="109"/>
      <c r="D61" s="110"/>
    </row>
    <row r="62" spans="2:6" x14ac:dyDescent="0.2">
      <c r="B62" s="111" t="s">
        <v>60</v>
      </c>
      <c r="C62" s="57">
        <f>C54</f>
        <v>450</v>
      </c>
      <c r="D62" s="112"/>
    </row>
    <row r="63" spans="2:6" ht="15.75" x14ac:dyDescent="0.25">
      <c r="B63" s="113" t="s">
        <v>61</v>
      </c>
      <c r="C63" s="104">
        <v>1500</v>
      </c>
      <c r="D63" s="114">
        <f>C63</f>
        <v>1500</v>
      </c>
    </row>
    <row r="64" spans="2:6" x14ac:dyDescent="0.2">
      <c r="B64" s="111" t="s">
        <v>62</v>
      </c>
      <c r="C64" s="58">
        <f>C63/C62</f>
        <v>3.3333333333333335</v>
      </c>
      <c r="D64" s="115"/>
    </row>
    <row r="65" spans="2:5" x14ac:dyDescent="0.2">
      <c r="B65" s="116" t="s">
        <v>63</v>
      </c>
      <c r="C65" s="59"/>
      <c r="D65" s="115"/>
    </row>
    <row r="66" spans="2:5" x14ac:dyDescent="0.2">
      <c r="B66" s="111" t="s">
        <v>34</v>
      </c>
      <c r="C66" s="57">
        <f>C62</f>
        <v>450</v>
      </c>
      <c r="D66" s="115"/>
    </row>
    <row r="67" spans="2:5" x14ac:dyDescent="0.2">
      <c r="B67" s="111" t="s">
        <v>35</v>
      </c>
      <c r="C67" s="105">
        <v>500</v>
      </c>
      <c r="D67" s="115"/>
    </row>
    <row r="68" spans="2:5" x14ac:dyDescent="0.2">
      <c r="B68" s="111" t="s">
        <v>36</v>
      </c>
      <c r="C68" s="106">
        <v>1.95</v>
      </c>
      <c r="D68" s="115"/>
    </row>
    <row r="69" spans="2:5" x14ac:dyDescent="0.2">
      <c r="B69" s="111" t="s">
        <v>37</v>
      </c>
      <c r="C69" s="105">
        <v>26</v>
      </c>
      <c r="D69" s="115"/>
    </row>
    <row r="70" spans="2:5" ht="15.75" x14ac:dyDescent="0.25">
      <c r="B70" s="111" t="s">
        <v>64</v>
      </c>
      <c r="C70" s="60">
        <f>IF(C66&gt;0,C66*C67*C68/C69,0)</f>
        <v>16875</v>
      </c>
      <c r="D70" s="114">
        <f>C70</f>
        <v>16875</v>
      </c>
    </row>
    <row r="71" spans="2:5" x14ac:dyDescent="0.2">
      <c r="B71" s="111" t="s">
        <v>39</v>
      </c>
      <c r="C71" s="58">
        <f>IF(C66&gt;0,C70/C66,0)</f>
        <v>37.5</v>
      </c>
      <c r="D71" s="115"/>
    </row>
    <row r="72" spans="2:5" ht="15.75" x14ac:dyDescent="0.25">
      <c r="B72" s="111" t="s">
        <v>65</v>
      </c>
      <c r="C72" s="104">
        <v>10</v>
      </c>
      <c r="D72" s="114">
        <f>C72*C62</f>
        <v>4500</v>
      </c>
    </row>
    <row r="73" spans="2:5" ht="15.75" x14ac:dyDescent="0.25">
      <c r="B73" s="111" t="s">
        <v>66</v>
      </c>
      <c r="C73" s="104">
        <v>1200</v>
      </c>
      <c r="D73" s="114">
        <f>C73*C62</f>
        <v>540000</v>
      </c>
    </row>
    <row r="74" spans="2:5" ht="16.5" thickBot="1" x14ac:dyDescent="0.3">
      <c r="B74" s="117" t="s">
        <v>67</v>
      </c>
      <c r="C74" s="118">
        <f>D74/C62</f>
        <v>1250.8333333333333</v>
      </c>
      <c r="D74" s="119">
        <f>SUM(D63:D73)</f>
        <v>562875</v>
      </c>
    </row>
    <row r="75" spans="2:5" x14ac:dyDescent="0.2">
      <c r="C75" s="3"/>
    </row>
    <row r="76" spans="2:5" ht="15.75" x14ac:dyDescent="0.25">
      <c r="B76" s="26" t="s">
        <v>68</v>
      </c>
      <c r="D76" s="47">
        <f>D74-D58</f>
        <v>4695.089285714319</v>
      </c>
    </row>
    <row r="77" spans="2:5" x14ac:dyDescent="0.2">
      <c r="C77" s="3"/>
      <c r="E77" s="47" t="s">
        <v>99</v>
      </c>
    </row>
    <row r="78" spans="2:5" x14ac:dyDescent="0.2">
      <c r="C78" s="3"/>
    </row>
    <row r="79" spans="2:5" x14ac:dyDescent="0.2">
      <c r="C79" s="3"/>
    </row>
    <row r="80" spans="2:5" x14ac:dyDescent="0.2">
      <c r="C80" s="3"/>
    </row>
    <row r="81" spans="2:10" x14ac:dyDescent="0.2">
      <c r="C81" s="3"/>
    </row>
    <row r="82" spans="2:10" ht="15.75" x14ac:dyDescent="0.25">
      <c r="B82" s="32" t="s">
        <v>69</v>
      </c>
      <c r="C82" s="73"/>
      <c r="D82" s="73"/>
      <c r="E82" s="73"/>
      <c r="F82" s="73"/>
      <c r="G82" s="73"/>
      <c r="H82" s="73"/>
    </row>
    <row r="83" spans="2:10" x14ac:dyDescent="0.2">
      <c r="B83" s="61" t="s">
        <v>70</v>
      </c>
      <c r="C83" s="3"/>
      <c r="D83" s="62"/>
      <c r="E83" s="62"/>
      <c r="F83" s="62"/>
      <c r="G83" s="62"/>
      <c r="H83" s="62"/>
    </row>
    <row r="84" spans="2:10" x14ac:dyDescent="0.2">
      <c r="B84" s="5" t="s">
        <v>71</v>
      </c>
      <c r="C84" s="58">
        <f>D84-0.2</f>
        <v>1.6</v>
      </c>
      <c r="D84" s="58">
        <f>E84-0.2</f>
        <v>1.8</v>
      </c>
      <c r="E84" s="63">
        <f>K9</f>
        <v>2</v>
      </c>
      <c r="F84" s="64">
        <f>E84+0.2</f>
        <v>2.2000000000000002</v>
      </c>
      <c r="G84" s="64">
        <f>F84+0.2</f>
        <v>2.4000000000000004</v>
      </c>
      <c r="H84" s="62"/>
    </row>
    <row r="85" spans="2:10" x14ac:dyDescent="0.2">
      <c r="B85" s="61" t="s">
        <v>72</v>
      </c>
      <c r="C85" s="64">
        <f>M15</f>
        <v>626.30999999999995</v>
      </c>
      <c r="D85" s="64">
        <f>N15</f>
        <v>708.8175</v>
      </c>
      <c r="E85" s="64">
        <f>C19</f>
        <v>791.32500000000005</v>
      </c>
      <c r="F85" s="64">
        <f>P15</f>
        <v>873.8325000000001</v>
      </c>
      <c r="G85" s="64">
        <f>Q15</f>
        <v>956.34000000000026</v>
      </c>
      <c r="H85" s="62"/>
    </row>
    <row r="86" spans="2:10" x14ac:dyDescent="0.2">
      <c r="B86" s="62" t="s">
        <v>73</v>
      </c>
      <c r="C86" s="3" t="s">
        <v>101</v>
      </c>
      <c r="D86" s="5"/>
      <c r="F86" s="62"/>
      <c r="G86" s="62"/>
      <c r="H86" s="62"/>
    </row>
    <row r="87" spans="2:10" x14ac:dyDescent="0.2">
      <c r="B87" s="65">
        <f t="shared" ref="B87:B88" si="13">B88-100</f>
        <v>900</v>
      </c>
      <c r="C87" s="74">
        <f>$B87*$C$62+$D$72+$D$70+$D$63-($M$15*$C$10)-$D$44-($M$15*$C$13/365*$C$47*$C$10)-$D$49-M19</f>
        <v>-47797.410714285739</v>
      </c>
      <c r="D87" s="74">
        <f>$B87*$C$62+$D$72+$D$70+$D$63-($N$15*$C$10)-$D$44-($N$15*$C$13/365*$C$47*$C$10)-$D$49-N19</f>
        <v>-89051.160714285739</v>
      </c>
      <c r="E87" s="74">
        <f t="shared" ref="E87:E93" si="14">$B87*$C$62+$D$72+$D$70+$D$63-($O$15*$C$10)-$D$44-($O$15*$C$13/365*$C$47*$C$10)-$D$49-$D$57</f>
        <v>-130304.91071428574</v>
      </c>
      <c r="F87" s="75">
        <f>$B87*$C$62+$D$72+$D$70+$D$63-($P$15*$C$10)-$D$44-($P$15*$C$13/365*$C$47*$C$10)-$D$49-P19</f>
        <v>-171558.6607142858</v>
      </c>
      <c r="G87" s="75">
        <f>$B87*$C$62+$D$72+$D$70+$D$63-($Q$15*$C$10)-$D$44-($Q$15*$C$13/365*$C$47*$C$10)-$D$49-Q19</f>
        <v>-212812.41071428586</v>
      </c>
      <c r="H87" s="62"/>
    </row>
    <row r="88" spans="2:10" x14ac:dyDescent="0.2">
      <c r="B88" s="65">
        <f t="shared" si="13"/>
        <v>1000</v>
      </c>
      <c r="C88" s="76">
        <f>$B88*$C$62+$D$72+$D$70+$D$63-($M$15*$C$10)-$D$44-($M$15*$C$13/365*$C$47*$C$10)-$D$49-M19</f>
        <v>-2797.4107142857356</v>
      </c>
      <c r="D88" s="76">
        <f>$B88*$C$62+$D$72+$D$70+$D$63-($N$15*$C$10)-$D$44-($N$15*$C$13/365*$C$47*$C$10)-$D$49-N19</f>
        <v>-44051.160714285739</v>
      </c>
      <c r="E88" s="76">
        <f t="shared" si="14"/>
        <v>-85304.910714285739</v>
      </c>
      <c r="F88" s="77">
        <f>$B88*$C$62+$D$72+$D$70+$D$63-($P$15*$C$10)-$D$44-($P$15*$C$13/365*$C$47*$C$10)-$D$49-P19</f>
        <v>-126558.6607142858</v>
      </c>
      <c r="G88" s="77">
        <f>$B88*$C$62+$D$72+$D$70+$D$63-($Q$15*$C$10)-$D$44-($Q$15*$C$13/365*$C$47*$C$10)-$D$49-Q19</f>
        <v>-167812.41071428586</v>
      </c>
      <c r="H88" s="62"/>
    </row>
    <row r="89" spans="2:10" x14ac:dyDescent="0.2">
      <c r="B89" s="65">
        <f>B90-100</f>
        <v>1100</v>
      </c>
      <c r="C89" s="76">
        <f>$B89*$C$62+$D$72+$D$70+$D$63-($M$15*$C$10)-$D$44-($M$15*$C$13/365*$C$47*$C$10)-$D$49-M19</f>
        <v>42202.589285714261</v>
      </c>
      <c r="D89" s="76">
        <f>$B89*$C$62+$D$72+$D$70+$D$63-($N$15*$C$10)-$D$44-($N$15*$C$13/365*$C$47*$C$10)-$D$49-N19</f>
        <v>948.83928571426441</v>
      </c>
      <c r="E89" s="76">
        <f t="shared" si="14"/>
        <v>-40304.910714285739</v>
      </c>
      <c r="F89" s="77">
        <f>$B89*$C$62+$D$72+$D$70+$D$63-($P$15*$C$10)-$D$44-($P$15*$C$13/365*$C$47*$C$10)-$D$49-P19</f>
        <v>-81558.660714285797</v>
      </c>
      <c r="G89" s="77">
        <f>$B89*$C$62+$D$72+$D$70+$D$63-($Q$15*$C$10)-$D$44-($Q$15*$C$13/365*$C$47*$C$10)-$D$49-Q19</f>
        <v>-122812.41071428586</v>
      </c>
      <c r="H89" s="62"/>
    </row>
    <row r="90" spans="2:10" x14ac:dyDescent="0.2">
      <c r="B90" s="66">
        <f>C73</f>
        <v>1200</v>
      </c>
      <c r="C90" s="76">
        <f>$B90*$C$62+$D$72+$D$70+$D$63-($M$15*$C$10)-$D$44-($M$15*$C$13/365*$C$47*$C$10)-$D$49-M19</f>
        <v>87202.589285714261</v>
      </c>
      <c r="D90" s="76">
        <f>$B90*$C$62+$D$72+$D$70+$D$63-($N$15*$C$10)-$D$44-($N$15*$C$13/365*$C$47*$C$10)-$D$49-N19</f>
        <v>45948.839285714261</v>
      </c>
      <c r="E90" s="78">
        <f t="shared" si="14"/>
        <v>4695.0892857142644</v>
      </c>
      <c r="F90" s="77">
        <f>$B90*$C$62+$D$72+$D$70+$D$63-($P$15*$C$10)-$D$44-($P$15*$C$13/365*$C$47*$C$10)-$D$49-P19</f>
        <v>-36558.660714285797</v>
      </c>
      <c r="G90" s="77">
        <f>$B90*$C$62+$D$72+$D$70+$D$63-($Q$15*$C$10)-$D$44-($Q$15*$C$13/365*$C$47*$C$10)-$D$49-Q19</f>
        <v>-77812.410714285856</v>
      </c>
      <c r="H90" s="62"/>
    </row>
    <row r="91" spans="2:10" x14ac:dyDescent="0.2">
      <c r="B91" s="65">
        <f>B90+100</f>
        <v>1300</v>
      </c>
      <c r="C91" s="76">
        <f>$B91*$C$62+$D$72+$D$70+$D$63-($M$15*$C$10)-$D$44-($M$15*$C$13/365*$C$47*$C$10)-$D$49-M19</f>
        <v>132202.58928571426</v>
      </c>
      <c r="D91" s="76">
        <f>$B91*$C$62+$D$72+$D$70+$D$63-($N$15*$C$10)-$D$44-($N$15*$C$13/365*$C$47*$C$10)-$D$49-N19</f>
        <v>90948.839285714261</v>
      </c>
      <c r="E91" s="79">
        <f t="shared" si="14"/>
        <v>49695.089285714268</v>
      </c>
      <c r="F91" s="80">
        <f>$B91*$C$62+$D$72+$D$70+$D$63-($P$15*$C$10)-$D$44-($P$15*$C$13/365*$C$47*$C$10)-$D$49-P19</f>
        <v>8441.3392857142062</v>
      </c>
      <c r="G91" s="80">
        <f>$B91*$C$62+$D$72+$D$70+$D$63-($Q$15*$C$10)-$D$44-($Q$15*$C$13/365*$C$47*$C$10)-$D$49-Q19</f>
        <v>-32812.410714285856</v>
      </c>
      <c r="H91" s="62"/>
    </row>
    <row r="92" spans="2:10" x14ac:dyDescent="0.2">
      <c r="B92" s="65">
        <f t="shared" ref="B92:B93" si="15">B91+100</f>
        <v>1400</v>
      </c>
      <c r="C92" s="76">
        <f>$B92*$C$62+$D$72+$D$70+$D$63-($M$15*$C$10)-$D$44-($M$15*$C$13/365*$C$47*$C$10)-$D$49-M19</f>
        <v>177202.58928571426</v>
      </c>
      <c r="D92" s="76">
        <f>$B92*$C$62+$D$72+$D$70+$D$63-($N$15*$C$10)-$D$44-($N$15*$C$13/365*$C$47*$C$10)-$D$49-N19</f>
        <v>135948.83928571426</v>
      </c>
      <c r="E92" s="79">
        <f t="shared" si="14"/>
        <v>94695.089285714261</v>
      </c>
      <c r="F92" s="80">
        <f>$B92*$C$62+$D$72+$D$70+$D$63-($P$15*$C$10)-$D$44-($P$15*$C$13/365*$C$47*$C$10)-$D$49-P19</f>
        <v>53441.33928571421</v>
      </c>
      <c r="G92" s="80">
        <f>$B92*$C$62+$D$72+$D$70+$D$63-($Q$15*$C$10)-$D$44-($Q$15*$C$13/365*$C$47*$C$10)-$D$49-Q19</f>
        <v>12187.589285714144</v>
      </c>
      <c r="H92" s="62"/>
    </row>
    <row r="93" spans="2:10" x14ac:dyDescent="0.2">
      <c r="B93" s="65">
        <f t="shared" si="15"/>
        <v>1500</v>
      </c>
      <c r="C93" s="81">
        <f>$B93*$C$62+$D$72+$D$70+$D$63-($M$15*$C$10)-$D$44-($M$15*$C$13/365*$C$47*$C$10)-$D$49-M19</f>
        <v>222202.58928571426</v>
      </c>
      <c r="D93" s="81">
        <f>$B93*$C$62+$D$72+$D$70+$D$63-($N$15*$C$10)-$D$44-($N$15*$C$13/365*$C$47*$C$10)-$D$49-N19</f>
        <v>180948.83928571426</v>
      </c>
      <c r="E93" s="82">
        <f t="shared" si="14"/>
        <v>139695.08928571426</v>
      </c>
      <c r="F93" s="83">
        <f>$B93*$C$62+$D$72+$D$70+$D$63-($P$15*$C$10)-$D$44-($P$15*$C$13/365*$C$47*$C$10)-$D$49-P19</f>
        <v>98441.339285714203</v>
      </c>
      <c r="G93" s="83">
        <f>$B93*$C$62+$D$72+$D$70+$D$63-($Q$15*$C$10)-$D$44-($Q$15*$C$13/365*$C$47*$C$10)-$D$49-Q19</f>
        <v>57187.589285714144</v>
      </c>
      <c r="H93" s="62"/>
    </row>
    <row r="94" spans="2:10" x14ac:dyDescent="0.2">
      <c r="H94" s="62"/>
      <c r="J94" s="67"/>
    </row>
    <row r="95" spans="2:10" x14ac:dyDescent="0.2">
      <c r="B95" s="62"/>
      <c r="C95" s="62"/>
      <c r="D95" s="62"/>
      <c r="E95" s="62"/>
      <c r="F95" s="62"/>
      <c r="G95" s="62"/>
      <c r="H95" s="62"/>
      <c r="J95" s="67"/>
    </row>
    <row r="96" spans="2:10" x14ac:dyDescent="0.2">
      <c r="B96" s="62"/>
      <c r="C96" s="62"/>
      <c r="D96" s="62"/>
      <c r="E96" s="62"/>
      <c r="F96" s="62"/>
      <c r="G96" s="62"/>
      <c r="H96" s="62"/>
      <c r="J96" s="67"/>
    </row>
    <row r="97" spans="2:10" x14ac:dyDescent="0.2">
      <c r="B97" s="62"/>
      <c r="C97" s="62"/>
      <c r="D97" s="62"/>
      <c r="E97" s="62"/>
      <c r="F97" s="62"/>
      <c r="G97" s="62"/>
      <c r="H97" s="62"/>
      <c r="J97" s="67"/>
    </row>
    <row r="98" spans="2:10" x14ac:dyDescent="0.2">
      <c r="B98" s="62"/>
      <c r="C98" s="62"/>
      <c r="D98" s="62"/>
      <c r="E98" s="62"/>
      <c r="F98" s="62"/>
      <c r="G98" s="62"/>
      <c r="H98" s="62"/>
    </row>
    <row r="99" spans="2:10" x14ac:dyDescent="0.2">
      <c r="B99" s="62"/>
      <c r="C99" s="62"/>
      <c r="D99" s="62"/>
      <c r="E99" s="62"/>
      <c r="F99" s="62"/>
      <c r="G99" s="62"/>
      <c r="H99" s="62"/>
    </row>
    <row r="100" spans="2:10" x14ac:dyDescent="0.2">
      <c r="B100" s="62"/>
      <c r="C100" s="62"/>
      <c r="D100" s="62"/>
      <c r="E100" s="62"/>
      <c r="F100" s="62"/>
      <c r="G100" s="62"/>
      <c r="H100" s="62"/>
    </row>
    <row r="101" spans="2:10" x14ac:dyDescent="0.2">
      <c r="B101" s="62"/>
      <c r="C101" s="62"/>
      <c r="D101" s="62"/>
      <c r="E101" s="62"/>
      <c r="F101" s="62"/>
      <c r="G101" s="62"/>
      <c r="H101" s="62"/>
    </row>
    <row r="102" spans="2:10" x14ac:dyDescent="0.2">
      <c r="B102" s="73"/>
      <c r="C102" s="73"/>
      <c r="D102" s="73"/>
      <c r="E102" s="73"/>
      <c r="F102" s="73"/>
      <c r="G102" s="73"/>
      <c r="H102" s="73"/>
    </row>
    <row r="103" spans="2:10" x14ac:dyDescent="0.2">
      <c r="B103" s="73"/>
      <c r="C103" s="73"/>
      <c r="D103" s="73"/>
      <c r="E103" s="73"/>
      <c r="F103" s="73"/>
      <c r="G103" s="73"/>
      <c r="H103" s="73"/>
    </row>
    <row r="104" spans="2:10" x14ac:dyDescent="0.2">
      <c r="B104" s="73"/>
      <c r="C104" s="73"/>
      <c r="D104" s="73"/>
      <c r="E104" s="73"/>
      <c r="F104" s="73"/>
      <c r="G104" s="73"/>
      <c r="H104" s="73"/>
    </row>
    <row r="105" spans="2:10" x14ac:dyDescent="0.2">
      <c r="B105" s="73"/>
      <c r="C105" s="73"/>
      <c r="D105" s="73"/>
      <c r="E105" s="73"/>
      <c r="F105" s="73"/>
      <c r="G105" s="73"/>
      <c r="H105" s="73"/>
    </row>
    <row r="106" spans="2:10" x14ac:dyDescent="0.2">
      <c r="B106" s="73"/>
      <c r="C106" s="73"/>
      <c r="D106" s="73"/>
      <c r="E106" s="73"/>
      <c r="F106" s="73"/>
      <c r="G106" s="73"/>
      <c r="H106" s="73"/>
      <c r="I106" s="67"/>
    </row>
    <row r="107" spans="2:10" x14ac:dyDescent="0.2">
      <c r="B107" s="73"/>
      <c r="C107" s="73"/>
      <c r="D107" s="73"/>
      <c r="E107" s="73"/>
      <c r="F107" s="73"/>
      <c r="G107" s="73"/>
      <c r="H107" s="73"/>
      <c r="I107" s="67"/>
    </row>
    <row r="108" spans="2:10" x14ac:dyDescent="0.2">
      <c r="B108" s="73"/>
      <c r="C108" s="73"/>
      <c r="D108" s="73"/>
      <c r="E108" s="73"/>
      <c r="F108" s="73"/>
      <c r="G108" s="73"/>
      <c r="H108" s="73"/>
      <c r="I108" s="67"/>
    </row>
    <row r="109" spans="2:10" x14ac:dyDescent="0.2">
      <c r="B109" s="73"/>
      <c r="C109" s="73"/>
      <c r="D109" s="73"/>
      <c r="E109" s="73"/>
      <c r="F109" s="73"/>
      <c r="G109" s="73"/>
      <c r="H109" s="73"/>
      <c r="I109" s="67"/>
    </row>
    <row r="110" spans="2:10" x14ac:dyDescent="0.2">
      <c r="B110" s="73"/>
      <c r="C110" s="73"/>
      <c r="D110" s="73"/>
      <c r="E110" s="73"/>
      <c r="F110" s="73"/>
      <c r="G110" s="73"/>
      <c r="H110" s="73"/>
    </row>
    <row r="111" spans="2:10" x14ac:dyDescent="0.2">
      <c r="B111" s="73"/>
      <c r="C111" s="73"/>
      <c r="D111" s="73"/>
      <c r="E111" s="73"/>
      <c r="F111" s="73"/>
      <c r="G111" s="73"/>
      <c r="H111" s="73"/>
    </row>
    <row r="112" spans="2:10" x14ac:dyDescent="0.2">
      <c r="B112" s="73"/>
      <c r="C112" s="73"/>
      <c r="D112" s="73"/>
      <c r="E112" s="73"/>
      <c r="F112" s="73"/>
      <c r="G112" s="73"/>
      <c r="H112" s="73"/>
    </row>
    <row r="113" spans="2:8" x14ac:dyDescent="0.2">
      <c r="B113" s="73"/>
      <c r="C113" s="73"/>
      <c r="D113" s="73"/>
      <c r="E113" s="73"/>
      <c r="F113" s="73"/>
      <c r="G113" s="73"/>
      <c r="H113" s="73"/>
    </row>
    <row r="114" spans="2:8" x14ac:dyDescent="0.2">
      <c r="B114" s="73"/>
      <c r="C114" s="73"/>
      <c r="D114" s="73"/>
      <c r="E114" s="73"/>
      <c r="F114" s="73"/>
      <c r="G114" s="73"/>
      <c r="H114" s="73"/>
    </row>
    <row r="115" spans="2:8" x14ac:dyDescent="0.2">
      <c r="B115" s="73"/>
      <c r="C115" s="73"/>
      <c r="D115" s="73"/>
      <c r="E115" s="73"/>
      <c r="F115" s="73"/>
      <c r="G115" s="73"/>
      <c r="H115" s="73"/>
    </row>
    <row r="116" spans="2:8" x14ac:dyDescent="0.2">
      <c r="B116" s="73"/>
      <c r="C116" s="73"/>
      <c r="D116" s="73"/>
      <c r="E116" s="73"/>
      <c r="F116" s="73"/>
      <c r="G116" s="73"/>
      <c r="H116" s="73"/>
    </row>
    <row r="117" spans="2:8" x14ac:dyDescent="0.2">
      <c r="B117" s="73"/>
      <c r="C117" s="73"/>
      <c r="D117" s="73"/>
      <c r="E117" s="73"/>
      <c r="F117" s="73"/>
      <c r="G117" s="73"/>
      <c r="H117" s="73"/>
    </row>
    <row r="118" spans="2:8" x14ac:dyDescent="0.2">
      <c r="B118" s="73"/>
      <c r="C118" s="73"/>
      <c r="D118" s="73"/>
      <c r="E118" s="73"/>
      <c r="F118" s="73"/>
      <c r="G118" s="73"/>
      <c r="H118" s="73"/>
    </row>
    <row r="119" spans="2:8" x14ac:dyDescent="0.2">
      <c r="B119" s="73"/>
      <c r="C119" s="73"/>
      <c r="D119" s="73"/>
      <c r="E119" s="73"/>
      <c r="F119" s="73"/>
      <c r="G119" s="73"/>
      <c r="H119" s="73"/>
    </row>
    <row r="120" spans="2:8" x14ac:dyDescent="0.2">
      <c r="B120" s="73"/>
      <c r="C120" s="73"/>
      <c r="D120" s="73"/>
      <c r="E120" s="73"/>
      <c r="F120" s="73"/>
      <c r="G120" s="73"/>
      <c r="H120" s="73"/>
    </row>
    <row r="121" spans="2:8" x14ac:dyDescent="0.2">
      <c r="B121" s="73"/>
      <c r="C121" s="73"/>
      <c r="D121" s="73"/>
      <c r="E121" s="73"/>
      <c r="F121" s="73"/>
      <c r="G121" s="73"/>
      <c r="H121" s="73"/>
    </row>
    <row r="122" spans="2:8" x14ac:dyDescent="0.2">
      <c r="B122" s="73"/>
      <c r="C122" s="73"/>
      <c r="D122" s="73"/>
      <c r="E122" s="73"/>
      <c r="F122" s="73"/>
      <c r="G122" s="73"/>
      <c r="H122" s="73"/>
    </row>
    <row r="123" spans="2:8" x14ac:dyDescent="0.2">
      <c r="B123" s="73"/>
      <c r="C123" s="73"/>
      <c r="D123" s="73"/>
      <c r="E123" s="73"/>
      <c r="F123" s="73"/>
      <c r="G123" s="73"/>
      <c r="H123" s="73"/>
    </row>
    <row r="124" spans="2:8" x14ac:dyDescent="0.2">
      <c r="B124" s="73"/>
      <c r="C124" s="73"/>
      <c r="D124" s="73"/>
      <c r="E124" s="73"/>
      <c r="F124" s="73"/>
      <c r="G124" s="73"/>
      <c r="H124" s="73"/>
    </row>
    <row r="125" spans="2:8" x14ac:dyDescent="0.2">
      <c r="B125" s="73"/>
      <c r="C125" s="73"/>
      <c r="D125" s="73"/>
      <c r="E125" s="73"/>
      <c r="F125" s="73"/>
      <c r="G125" s="73"/>
      <c r="H125" s="73"/>
    </row>
    <row r="126" spans="2:8" x14ac:dyDescent="0.2">
      <c r="B126" s="73"/>
      <c r="C126" s="73"/>
      <c r="D126" s="73"/>
      <c r="E126" s="73"/>
      <c r="F126" s="73"/>
      <c r="G126" s="73"/>
      <c r="H126" s="73"/>
    </row>
    <row r="127" spans="2:8" x14ac:dyDescent="0.2">
      <c r="B127" s="73"/>
      <c r="C127" s="73"/>
      <c r="D127" s="73"/>
      <c r="E127" s="73"/>
      <c r="F127" s="73"/>
      <c r="G127" s="73"/>
      <c r="H127" s="73"/>
    </row>
    <row r="128" spans="2:8" x14ac:dyDescent="0.2">
      <c r="B128" s="73"/>
      <c r="C128" s="73"/>
      <c r="D128" s="73"/>
      <c r="E128" s="73"/>
      <c r="F128" s="73"/>
      <c r="G128" s="73"/>
      <c r="H128" s="73"/>
    </row>
    <row r="129" spans="2:8" x14ac:dyDescent="0.2">
      <c r="B129" s="73"/>
      <c r="C129" s="73"/>
      <c r="D129" s="73"/>
      <c r="E129" s="73"/>
      <c r="F129" s="73"/>
      <c r="G129" s="73"/>
      <c r="H129" s="73"/>
    </row>
    <row r="130" spans="2:8" x14ac:dyDescent="0.2">
      <c r="B130" s="73"/>
      <c r="C130" s="73"/>
      <c r="D130" s="73"/>
      <c r="E130" s="73"/>
      <c r="F130" s="73"/>
      <c r="G130" s="73"/>
      <c r="H130" s="73"/>
    </row>
    <row r="131" spans="2:8" x14ac:dyDescent="0.2">
      <c r="B131" s="73"/>
      <c r="C131" s="73"/>
      <c r="D131" s="73"/>
      <c r="E131" s="73"/>
      <c r="F131" s="73"/>
      <c r="G131" s="73"/>
      <c r="H131" s="73"/>
    </row>
    <row r="132" spans="2:8" x14ac:dyDescent="0.2">
      <c r="B132" s="73"/>
      <c r="C132" s="73"/>
      <c r="D132" s="73"/>
      <c r="E132" s="73"/>
      <c r="F132" s="73"/>
      <c r="G132" s="73"/>
      <c r="H132" s="73"/>
    </row>
    <row r="133" spans="2:8" x14ac:dyDescent="0.2">
      <c r="B133" s="73"/>
      <c r="C133" s="73"/>
      <c r="D133" s="73"/>
      <c r="E133" s="73"/>
      <c r="F133" s="73"/>
      <c r="G133" s="73"/>
      <c r="H133" s="73"/>
    </row>
    <row r="134" spans="2:8" x14ac:dyDescent="0.2">
      <c r="B134" s="73"/>
      <c r="C134" s="73"/>
      <c r="D134" s="73"/>
      <c r="E134" s="73"/>
      <c r="F134" s="73"/>
      <c r="G134" s="73"/>
      <c r="H134" s="73"/>
    </row>
    <row r="135" spans="2:8" x14ac:dyDescent="0.2">
      <c r="B135" s="73"/>
      <c r="C135" s="73"/>
      <c r="D135" s="73"/>
      <c r="E135" s="73"/>
      <c r="F135" s="73"/>
      <c r="G135" s="73"/>
      <c r="H135" s="73"/>
    </row>
    <row r="136" spans="2:8" x14ac:dyDescent="0.2">
      <c r="B136" s="73"/>
      <c r="C136" s="73"/>
      <c r="D136" s="73"/>
      <c r="E136" s="73"/>
      <c r="F136" s="73"/>
      <c r="G136" s="73"/>
      <c r="H136" s="73"/>
    </row>
    <row r="137" spans="2:8" x14ac:dyDescent="0.2">
      <c r="B137" s="73"/>
      <c r="C137" s="73"/>
      <c r="D137" s="73"/>
      <c r="E137" s="73"/>
      <c r="F137" s="73"/>
      <c r="G137" s="73"/>
      <c r="H137" s="73"/>
    </row>
    <row r="138" spans="2:8" x14ac:dyDescent="0.2">
      <c r="B138" s="73"/>
      <c r="C138" s="73"/>
      <c r="D138" s="73"/>
      <c r="E138" s="73"/>
      <c r="F138" s="73"/>
      <c r="G138" s="73"/>
      <c r="H138" s="73"/>
    </row>
    <row r="139" spans="2:8" x14ac:dyDescent="0.2">
      <c r="B139" s="73"/>
      <c r="C139" s="73"/>
      <c r="D139" s="73"/>
      <c r="E139" s="73"/>
      <c r="F139" s="73"/>
      <c r="G139" s="73"/>
      <c r="H139" s="73"/>
    </row>
    <row r="140" spans="2:8" x14ac:dyDescent="0.2">
      <c r="B140" s="73"/>
      <c r="C140" s="73"/>
      <c r="D140" s="73"/>
      <c r="E140" s="73"/>
      <c r="F140" s="73"/>
      <c r="G140" s="73"/>
      <c r="H140" s="73"/>
    </row>
    <row r="141" spans="2:8" x14ac:dyDescent="0.2">
      <c r="B141" s="73"/>
      <c r="C141" s="73"/>
      <c r="D141" s="73"/>
      <c r="E141" s="73"/>
      <c r="F141" s="73"/>
      <c r="G141" s="73"/>
      <c r="H141" s="73"/>
    </row>
    <row r="142" spans="2:8" x14ac:dyDescent="0.2">
      <c r="B142" s="73"/>
      <c r="C142" s="73"/>
      <c r="D142" s="73"/>
      <c r="E142" s="73"/>
      <c r="F142" s="73"/>
      <c r="G142" s="73"/>
      <c r="H142" s="73"/>
    </row>
    <row r="143" spans="2:8" x14ac:dyDescent="0.2">
      <c r="B143" s="73"/>
      <c r="C143" s="73"/>
      <c r="D143" s="73"/>
      <c r="E143" s="73"/>
      <c r="F143" s="73"/>
      <c r="G143" s="73"/>
      <c r="H143" s="73"/>
    </row>
    <row r="144" spans="2:8" x14ac:dyDescent="0.2">
      <c r="B144" s="67"/>
      <c r="C144" s="68"/>
      <c r="D144" s="67"/>
      <c r="E144" s="67"/>
      <c r="F144" s="67"/>
      <c r="G144" s="67"/>
      <c r="H144" s="67"/>
    </row>
    <row r="145" spans="2:8" x14ac:dyDescent="0.2">
      <c r="B145" s="67"/>
      <c r="C145" s="68"/>
      <c r="D145" s="67"/>
      <c r="E145" s="67"/>
      <c r="F145" s="67"/>
      <c r="G145" s="67"/>
      <c r="H145" s="67"/>
    </row>
    <row r="146" spans="2:8" x14ac:dyDescent="0.2">
      <c r="C146" s="69"/>
    </row>
    <row r="147" spans="2:8" x14ac:dyDescent="0.2">
      <c r="C147" s="69"/>
    </row>
    <row r="148" spans="2:8" x14ac:dyDescent="0.2">
      <c r="C148" s="69"/>
    </row>
    <row r="149" spans="2:8" x14ac:dyDescent="0.2">
      <c r="C149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Sell or agist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2019-02-20T03:24:23Z</dcterms:created>
  <dcterms:modified xsi:type="dcterms:W3CDTF">2019-05-28T01:29:37Z</dcterms:modified>
</cp:coreProperties>
</file>