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dlef\Documents\DCAP2\Response and recovery\"/>
    </mc:Choice>
  </mc:AlternateContent>
  <bookViews>
    <workbookView xWindow="0" yWindow="0" windowWidth="28800" windowHeight="12300"/>
  </bookViews>
  <sheets>
    <sheet name="Agist costs and retur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41" i="1" l="1"/>
  <c r="J45" i="1" s="1"/>
  <c r="J38" i="1"/>
  <c r="J37" i="1"/>
  <c r="J36" i="1"/>
  <c r="R35" i="1"/>
  <c r="J35" i="1"/>
  <c r="J34" i="1"/>
  <c r="O27" i="1"/>
  <c r="O23" i="1"/>
  <c r="O24" i="1" s="1"/>
  <c r="O28" i="1" s="1"/>
  <c r="O30" i="1" s="1"/>
  <c r="F23" i="1"/>
  <c r="F22" i="1" s="1"/>
  <c r="I22" i="1" s="1"/>
  <c r="J16" i="1"/>
  <c r="J15" i="1"/>
  <c r="J14" i="1"/>
  <c r="I13" i="1"/>
  <c r="J13" i="1" s="1"/>
  <c r="R9" i="1"/>
  <c r="R10" i="1" s="1"/>
  <c r="O9" i="1"/>
  <c r="O11" i="1" s="1"/>
  <c r="O7" i="1"/>
  <c r="O16" i="1" s="1"/>
  <c r="R5" i="1"/>
  <c r="O5" i="1"/>
  <c r="O15" i="1" s="1"/>
  <c r="I26" i="1" l="1"/>
  <c r="J26" i="1" s="1"/>
  <c r="J22" i="1"/>
  <c r="O14" i="1"/>
  <c r="O17" i="1" s="1"/>
  <c r="G30" i="1"/>
  <c r="G31" i="1" s="1"/>
  <c r="F42" i="1" s="1"/>
  <c r="I42" i="1" s="1"/>
  <c r="J43" i="1"/>
  <c r="J44" i="1"/>
  <c r="R39" i="1"/>
  <c r="R40" i="1" s="1"/>
  <c r="I10" i="1" l="1"/>
  <c r="I46" i="1"/>
  <c r="J46" i="1" s="1"/>
  <c r="J42" i="1"/>
  <c r="I47" i="1"/>
  <c r="I25" i="1" l="1"/>
  <c r="J25" i="1" s="1"/>
  <c r="J10" i="1"/>
  <c r="J39" i="1" s="1"/>
  <c r="J47" i="1"/>
  <c r="J48" i="1" l="1"/>
  <c r="E52" i="1" s="1"/>
  <c r="I39" i="1"/>
  <c r="I48" i="1" s="1"/>
  <c r="E50" i="1" s="1"/>
  <c r="E51" i="1" s="1"/>
</calcChain>
</file>

<file path=xl/sharedStrings.xml><?xml version="1.0" encoding="utf-8"?>
<sst xmlns="http://schemas.openxmlformats.org/spreadsheetml/2006/main" count="109" uniqueCount="97">
  <si>
    <t xml:space="preserve">COSTS and BENEFITS of AGISTMENT ANALYSIS </t>
  </si>
  <si>
    <t>Enter data in yellow cells</t>
  </si>
  <si>
    <t>Calculate the value of the owned stock into the agistment paddock</t>
  </si>
  <si>
    <t>Transport cost per head calculator</t>
  </si>
  <si>
    <t>Costs of the enterprise</t>
  </si>
  <si>
    <t>per head</t>
  </si>
  <si>
    <t>Total</t>
  </si>
  <si>
    <t>Number of livestock that go to agistment</t>
  </si>
  <si>
    <t>Steer weight in the paddock</t>
  </si>
  <si>
    <t>Number transported</t>
  </si>
  <si>
    <t>weight loss to get to sale yards or works</t>
  </si>
  <si>
    <t>Distance (Km)</t>
  </si>
  <si>
    <t>What is each animal worth on average?</t>
  </si>
  <si>
    <t>Steer weight at saleyards or works</t>
  </si>
  <si>
    <t>$ per Km</t>
  </si>
  <si>
    <t>Initial weight</t>
  </si>
  <si>
    <t>kg</t>
  </si>
  <si>
    <t>Sale price at yards or works ($ /kg live)</t>
  </si>
  <si>
    <t>Rate on Truck</t>
  </si>
  <si>
    <t>Price  (dollars /kg - net of sale costs if owned)</t>
  </si>
  <si>
    <t>$/kg</t>
  </si>
  <si>
    <t>Gross sale price ($/head)</t>
  </si>
  <si>
    <t>Cost of livestock into the enterprise</t>
  </si>
  <si>
    <t>Commission &amp; insurance % on sales</t>
  </si>
  <si>
    <t>Per head</t>
  </si>
  <si>
    <t>Commission &amp; insurance ($/head)</t>
  </si>
  <si>
    <t>Costs of purchasing or transfering the livestock to agistment</t>
  </si>
  <si>
    <t>Transaction levy, yard dues etc</t>
  </si>
  <si>
    <t xml:space="preserve">Trucking </t>
  </si>
  <si>
    <t>head/deck</t>
  </si>
  <si>
    <t>kms</t>
  </si>
  <si>
    <t>per km</t>
  </si>
  <si>
    <t>Transport cost ($/head)</t>
  </si>
  <si>
    <t>Vet treatments</t>
  </si>
  <si>
    <t>Steer value net of selling expenses</t>
  </si>
  <si>
    <t>Paddock weight</t>
  </si>
  <si>
    <t>Selling cost ($ per kg)</t>
  </si>
  <si>
    <t>Transport Loading Density Guide</t>
  </si>
  <si>
    <t xml:space="preserve">Net value in the paddock ($/kg) </t>
  </si>
  <si>
    <t>Source for loading density: Kaus, Lapworth and Dunn "Marketing Cattle  to South-East Asia"</t>
  </si>
  <si>
    <t>What will it cost to feed the cattle?</t>
  </si>
  <si>
    <t>Maximum for lighter cattle = 44/deck</t>
  </si>
  <si>
    <t>Agistment cost ($/week /head)</t>
  </si>
  <si>
    <t>$/week</t>
  </si>
  <si>
    <t>Average</t>
  </si>
  <si>
    <t>Head Per</t>
  </si>
  <si>
    <t>Start date</t>
  </si>
  <si>
    <t>Calculate the landed cost of purchased stock</t>
  </si>
  <si>
    <t>Liveweight</t>
  </si>
  <si>
    <t>12.2m deck</t>
  </si>
  <si>
    <t>End Date</t>
  </si>
  <si>
    <t>Estimated weeks of agistment</t>
  </si>
  <si>
    <t>weeks</t>
  </si>
  <si>
    <t>cost</t>
  </si>
  <si>
    <t>Travel costs (total costs of finding steers)</t>
  </si>
  <si>
    <t>days</t>
  </si>
  <si>
    <t>Number purchased</t>
  </si>
  <si>
    <t>Travel cost/head</t>
  </si>
  <si>
    <t xml:space="preserve">Interest </t>
  </si>
  <si>
    <t>on livestock purchases</t>
  </si>
  <si>
    <t>Transport cost/head</t>
  </si>
  <si>
    <t>on agistment expenses</t>
  </si>
  <si>
    <t>Induction cost/head</t>
  </si>
  <si>
    <t>Average purchase weight live</t>
  </si>
  <si>
    <t xml:space="preserve">What will be the final weight </t>
  </si>
  <si>
    <t>Buying cost per kg</t>
  </si>
  <si>
    <t>Weight gain per day</t>
  </si>
  <si>
    <t>Nominal purchase price/kg</t>
  </si>
  <si>
    <t>Number of days</t>
  </si>
  <si>
    <t>Landed purchase cost/kg</t>
  </si>
  <si>
    <t xml:space="preserve">Final weight </t>
  </si>
  <si>
    <t>Losses</t>
  </si>
  <si>
    <t xml:space="preserve"> % of opening number</t>
  </si>
  <si>
    <t>Treatment Costs</t>
  </si>
  <si>
    <t>Mustering and Travelling</t>
  </si>
  <si>
    <t>Veterinary Costs</t>
  </si>
  <si>
    <t>Supplements</t>
  </si>
  <si>
    <t>Management</t>
  </si>
  <si>
    <t>Total costs</t>
  </si>
  <si>
    <t>What will be the value of the livestock?</t>
  </si>
  <si>
    <t>Number sold</t>
  </si>
  <si>
    <t>Selling price</t>
  </si>
  <si>
    <t xml:space="preserve">$/kg  live </t>
  </si>
  <si>
    <t>kg live</t>
  </si>
  <si>
    <t>less</t>
  </si>
  <si>
    <t xml:space="preserve"> selling costs</t>
  </si>
  <si>
    <t>Livestock levy</t>
  </si>
  <si>
    <t>Yard fees</t>
  </si>
  <si>
    <t>Commission on sales</t>
  </si>
  <si>
    <t>Net Income from sales</t>
  </si>
  <si>
    <t>Gross margin</t>
  </si>
  <si>
    <t>Approximate breakeven selling price</t>
  </si>
  <si>
    <t>c/kg live</t>
  </si>
  <si>
    <t>dressing %</t>
  </si>
  <si>
    <t>c/kg dwt</t>
  </si>
  <si>
    <t>Approximate breakeven purchase price</t>
  </si>
  <si>
    <t>Freight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</si>
</sst>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0.00_)"/>
    <numFmt numFmtId="165" formatCode="&quot;$&quot;#,##0.00_);\(&quot;$&quot;#,##0.00\)"/>
    <numFmt numFmtId="166" formatCode="&quot;$&quot;#,##0"/>
    <numFmt numFmtId="167" formatCode="&quot;$&quot;#,##0.00\ ;\(&quot;$&quot;#,##0.00\)"/>
    <numFmt numFmtId="168" formatCode="&quot;$&quot;#,##0\ ;\(&quot;$&quot;#,##0\)"/>
    <numFmt numFmtId="169" formatCode="&quot;$&quot;#,##0.00"/>
    <numFmt numFmtId="170" formatCode="d/mm/yyyy;@"/>
    <numFmt numFmtId="171" formatCode="&quot;$&quot;#,##0_);\(&quot;$&quot;#,##0\)"/>
    <numFmt numFmtId="172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u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</font>
    <font>
      <sz val="12"/>
      <color indexed="24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i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5" fillId="0" borderId="0"/>
    <xf numFmtId="0" fontId="3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4" fontId="8" fillId="3" borderId="0" xfId="3" applyFont="1" applyFill="1"/>
    <xf numFmtId="8" fontId="9" fillId="2" borderId="0" xfId="0" applyNumberFormat="1" applyFont="1" applyFill="1" applyAlignment="1">
      <alignment horizontal="right"/>
    </xf>
    <xf numFmtId="0" fontId="8" fillId="4" borderId="1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5" fillId="0" borderId="0" xfId="0" applyFont="1"/>
    <xf numFmtId="0" fontId="5" fillId="0" borderId="0" xfId="4" applyFont="1"/>
    <xf numFmtId="0" fontId="7" fillId="5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5" fillId="0" borderId="1" xfId="0" applyFont="1" applyBorder="1" applyAlignment="1" applyProtection="1">
      <alignment horizontal="left"/>
    </xf>
    <xf numFmtId="3" fontId="5" fillId="6" borderId="3" xfId="4" applyNumberFormat="1" applyFont="1" applyFill="1" applyBorder="1" applyAlignment="1">
      <alignment horizontal="center"/>
    </xf>
    <xf numFmtId="3" fontId="11" fillId="3" borderId="3" xfId="4" applyNumberFormat="1" applyFont="1" applyFill="1" applyBorder="1" applyAlignment="1">
      <alignment horizontal="center"/>
    </xf>
    <xf numFmtId="10" fontId="5" fillId="3" borderId="4" xfId="0" applyNumberFormat="1" applyFont="1" applyFill="1" applyBorder="1" applyAlignment="1" applyProtection="1">
      <alignment horizontal="center"/>
      <protection locked="0"/>
    </xf>
    <xf numFmtId="0" fontId="11" fillId="3" borderId="3" xfId="4" applyFont="1" applyFill="1" applyBorder="1" applyAlignment="1">
      <alignment horizontal="center"/>
    </xf>
    <xf numFmtId="8" fontId="11" fillId="3" borderId="3" xfId="4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3" xfId="0" applyNumberFormat="1" applyFont="1" applyFill="1" applyBorder="1" applyAlignment="1" applyProtection="1">
      <alignment horizontal="center"/>
      <protection locked="0"/>
    </xf>
    <xf numFmtId="8" fontId="5" fillId="0" borderId="0" xfId="0" applyNumberFormat="1" applyFont="1" applyFill="1" applyAlignment="1">
      <alignment horizontal="center"/>
    </xf>
    <xf numFmtId="166" fontId="5" fillId="6" borderId="3" xfId="4" applyNumberFormat="1" applyFont="1" applyFill="1" applyBorder="1" applyAlignment="1">
      <alignment horizontal="center"/>
    </xf>
    <xf numFmtId="0" fontId="12" fillId="0" borderId="0" xfId="0" applyFont="1"/>
    <xf numFmtId="167" fontId="7" fillId="2" borderId="0" xfId="0" applyNumberFormat="1" applyFont="1" applyFill="1" applyAlignment="1">
      <alignment horizontal="right"/>
    </xf>
    <xf numFmtId="168" fontId="7" fillId="2" borderId="0" xfId="0" applyNumberFormat="1" applyFont="1" applyFill="1" applyAlignment="1">
      <alignment horizontal="right"/>
    </xf>
    <xf numFmtId="169" fontId="8" fillId="6" borderId="3" xfId="4" applyNumberFormat="1" applyFont="1" applyFill="1" applyBorder="1" applyAlignment="1">
      <alignment horizontal="center"/>
    </xf>
    <xf numFmtId="169" fontId="5" fillId="6" borderId="3" xfId="4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8" fontId="5" fillId="3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left"/>
    </xf>
    <xf numFmtId="8" fontId="5" fillId="3" borderId="0" xfId="0" applyNumberFormat="1" applyFont="1" applyFill="1" applyAlignment="1">
      <alignment horizontal="right"/>
    </xf>
    <xf numFmtId="0" fontId="13" fillId="0" borderId="0" xfId="5" applyFont="1" applyProtection="1"/>
    <xf numFmtId="0" fontId="5" fillId="0" borderId="0" xfId="6" applyFont="1" applyProtection="1"/>
    <xf numFmtId="0" fontId="5" fillId="0" borderId="0" xfId="7" applyFont="1"/>
    <xf numFmtId="0" fontId="5" fillId="0" borderId="0" xfId="7" applyFont="1" applyAlignment="1">
      <alignment horizontal="left"/>
    </xf>
    <xf numFmtId="0" fontId="8" fillId="7" borderId="4" xfId="7" applyFont="1" applyFill="1" applyBorder="1" applyAlignment="1">
      <alignment horizontal="center"/>
    </xf>
    <xf numFmtId="170" fontId="5" fillId="3" borderId="0" xfId="0" applyNumberFormat="1" applyFont="1" applyFill="1" applyAlignment="1">
      <alignment horizontal="center"/>
    </xf>
    <xf numFmtId="0" fontId="5" fillId="0" borderId="0" xfId="0" applyFont="1" applyProtection="1"/>
    <xf numFmtId="0" fontId="8" fillId="7" borderId="5" xfId="7" applyFont="1" applyFill="1" applyBorder="1" applyAlignment="1">
      <alignment horizontal="center"/>
    </xf>
    <xf numFmtId="0" fontId="5" fillId="0" borderId="5" xfId="7" applyFont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right"/>
    </xf>
    <xf numFmtId="171" fontId="5" fillId="3" borderId="3" xfId="0" applyNumberFormat="1" applyFont="1" applyFill="1" applyBorder="1" applyAlignment="1" applyProtection="1">
      <alignment horizontal="center"/>
      <protection locked="0"/>
    </xf>
    <xf numFmtId="0" fontId="5" fillId="0" borderId="3" xfId="7" applyFont="1" applyBorder="1" applyAlignment="1">
      <alignment horizontal="center"/>
    </xf>
    <xf numFmtId="9" fontId="5" fillId="3" borderId="0" xfId="2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165" fontId="14" fillId="3" borderId="5" xfId="0" applyNumberFormat="1" applyFont="1" applyFill="1" applyBorder="1" applyAlignment="1" applyProtection="1">
      <alignment horizontal="center"/>
      <protection locked="0"/>
    </xf>
    <xf numFmtId="9" fontId="15" fillId="2" borderId="0" xfId="2" applyFont="1" applyFill="1" applyAlignment="1">
      <alignment horizontal="left"/>
    </xf>
    <xf numFmtId="1" fontId="7" fillId="2" borderId="0" xfId="0" applyNumberFormat="1" applyFont="1" applyFill="1" applyAlignment="1">
      <alignment horizontal="right"/>
    </xf>
    <xf numFmtId="165" fontId="8" fillId="6" borderId="3" xfId="0" applyNumberFormat="1" applyFont="1" applyFill="1" applyBorder="1" applyAlignment="1" applyProtection="1">
      <alignment horizontal="center"/>
    </xf>
    <xf numFmtId="10" fontId="5" fillId="3" borderId="0" xfId="2" applyNumberFormat="1" applyFont="1" applyFill="1" applyAlignment="1">
      <alignment horizontal="center"/>
    </xf>
    <xf numFmtId="168" fontId="7" fillId="2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44" fontId="7" fillId="2" borderId="6" xfId="1" applyFont="1" applyFill="1" applyBorder="1" applyAlignment="1">
      <alignment horizontal="right"/>
    </xf>
    <xf numFmtId="167" fontId="6" fillId="2" borderId="6" xfId="0" applyNumberFormat="1" applyFont="1" applyFill="1" applyBorder="1" applyAlignment="1">
      <alignment horizontal="right"/>
    </xf>
    <xf numFmtId="168" fontId="6" fillId="2" borderId="6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44" fontId="7" fillId="2" borderId="0" xfId="1" applyFont="1" applyFill="1" applyBorder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168" fontId="6" fillId="2" borderId="0" xfId="0" applyNumberFormat="1" applyFont="1" applyFill="1" applyBorder="1" applyAlignment="1">
      <alignment horizontal="right"/>
    </xf>
    <xf numFmtId="2" fontId="5" fillId="6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10" fontId="7" fillId="5" borderId="0" xfId="0" applyNumberFormat="1" applyFont="1" applyFill="1" applyAlignment="1">
      <alignment horizontal="center"/>
    </xf>
    <xf numFmtId="8" fontId="6" fillId="2" borderId="6" xfId="0" applyNumberFormat="1" applyFont="1" applyFill="1" applyBorder="1" applyAlignment="1">
      <alignment horizontal="right"/>
    </xf>
    <xf numFmtId="167" fontId="7" fillId="2" borderId="6" xfId="0" applyNumberFormat="1" applyFont="1" applyFill="1" applyBorder="1" applyAlignment="1">
      <alignment horizontal="left"/>
    </xf>
    <xf numFmtId="165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Border="1" applyAlignment="1">
      <alignment horizontal="left"/>
    </xf>
    <xf numFmtId="8" fontId="7" fillId="2" borderId="0" xfId="0" applyNumberFormat="1" applyFont="1" applyFill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167" fontId="7" fillId="2" borderId="0" xfId="0" applyNumberFormat="1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9" fontId="5" fillId="3" borderId="0" xfId="0" applyNumberFormat="1" applyFont="1" applyFill="1" applyAlignment="1">
      <alignment horizontal="right"/>
    </xf>
    <xf numFmtId="7" fontId="7" fillId="2" borderId="0" xfId="0" applyNumberFormat="1" applyFont="1" applyFill="1" applyAlignment="1">
      <alignment horizontal="left"/>
    </xf>
    <xf numFmtId="172" fontId="7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5" fontId="12" fillId="0" borderId="0" xfId="0" applyNumberFormat="1" applyFont="1"/>
  </cellXfs>
  <cellStyles count="8">
    <cellStyle name="Arial  - Style1" xfId="6"/>
    <cellStyle name="Bold A - Style3" xfId="5"/>
    <cellStyle name="Currency" xfId="1" builtinId="4"/>
    <cellStyle name="Normal" xfId="0" builtinId="0"/>
    <cellStyle name="Normal 2" xfId="7"/>
    <cellStyle name="Normal 3" xfId="4"/>
    <cellStyle name="Normal_AGIST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96"/>
  <sheetViews>
    <sheetView showGridLines="0" tabSelected="1" zoomScale="80" zoomScaleNormal="80" workbookViewId="0"/>
  </sheetViews>
  <sheetFormatPr defaultColWidth="10.28515625" defaultRowHeight="15" x14ac:dyDescent="0.2"/>
  <cols>
    <col min="1" max="1" width="8.42578125" style="2" customWidth="1"/>
    <col min="2" max="2" width="14.140625" style="2" customWidth="1"/>
    <col min="3" max="3" width="17" style="2" customWidth="1"/>
    <col min="4" max="4" width="15.28515625" style="2" customWidth="1"/>
    <col min="5" max="5" width="12.85546875" style="2" customWidth="1"/>
    <col min="6" max="6" width="14.7109375" style="2" bestFit="1" customWidth="1"/>
    <col min="7" max="7" width="9.7109375" style="2" customWidth="1"/>
    <col min="8" max="8" width="10.5703125" style="2" customWidth="1"/>
    <col min="9" max="9" width="13" style="12" customWidth="1"/>
    <col min="10" max="10" width="13.28515625" style="12" customWidth="1"/>
    <col min="11" max="13" width="10.28515625" style="2"/>
    <col min="14" max="14" width="52" style="2" customWidth="1"/>
    <col min="15" max="15" width="25.7109375" style="2" customWidth="1"/>
    <col min="16" max="16" width="13.28515625" style="2" customWidth="1"/>
    <col min="17" max="17" width="26.28515625" style="2" customWidth="1"/>
    <col min="18" max="18" width="15" style="2" customWidth="1"/>
    <col min="19" max="16384" width="10.28515625" style="2"/>
  </cols>
  <sheetData>
    <row r="2" spans="2:18" ht="15.75" x14ac:dyDescent="0.25">
      <c r="B2" s="1" t="s">
        <v>0</v>
      </c>
      <c r="H2" s="3" t="s">
        <v>1</v>
      </c>
      <c r="I2" s="3"/>
      <c r="J2" s="3"/>
      <c r="K2" s="3"/>
    </row>
    <row r="3" spans="2:18" ht="15.75" x14ac:dyDescent="0.25">
      <c r="B3" s="1"/>
      <c r="I3" s="4"/>
      <c r="J3" s="4"/>
      <c r="N3" s="5" t="s">
        <v>2</v>
      </c>
      <c r="O3" s="6"/>
      <c r="Q3" s="5" t="s">
        <v>3</v>
      </c>
      <c r="R3" s="6"/>
    </row>
    <row r="4" spans="2:18" ht="15.75" x14ac:dyDescent="0.25">
      <c r="B4" s="7" t="s">
        <v>4</v>
      </c>
      <c r="I4" s="8" t="s">
        <v>5</v>
      </c>
      <c r="J4" s="8" t="s">
        <v>6</v>
      </c>
      <c r="N4" s="9"/>
      <c r="O4" s="9"/>
      <c r="Q4" s="10"/>
      <c r="R4" s="10"/>
    </row>
    <row r="5" spans="2:18" ht="15.75" x14ac:dyDescent="0.25">
      <c r="B5" s="1" t="s">
        <v>7</v>
      </c>
      <c r="F5" s="11">
        <v>220</v>
      </c>
      <c r="N5" s="13" t="s">
        <v>8</v>
      </c>
      <c r="O5" s="14">
        <f>F8</f>
        <v>340</v>
      </c>
      <c r="Q5" s="13" t="s">
        <v>9</v>
      </c>
      <c r="R5" s="15">
        <f>F5</f>
        <v>220</v>
      </c>
    </row>
    <row r="6" spans="2:18" ht="15.75" x14ac:dyDescent="0.25">
      <c r="N6" s="13" t="s">
        <v>10</v>
      </c>
      <c r="O6" s="16">
        <v>0.05</v>
      </c>
      <c r="Q6" s="13" t="s">
        <v>11</v>
      </c>
      <c r="R6" s="17">
        <v>500</v>
      </c>
    </row>
    <row r="7" spans="2:18" ht="15.75" x14ac:dyDescent="0.25">
      <c r="B7" s="1" t="s">
        <v>12</v>
      </c>
      <c r="N7" s="13" t="s">
        <v>13</v>
      </c>
      <c r="O7" s="14">
        <f t="shared" ref="O7" si="0">O5*(1-O6)</f>
        <v>323</v>
      </c>
      <c r="Q7" s="13" t="s">
        <v>14</v>
      </c>
      <c r="R7" s="18">
        <v>2</v>
      </c>
    </row>
    <row r="8" spans="2:18" ht="15.75" x14ac:dyDescent="0.25">
      <c r="B8" s="2" t="s">
        <v>15</v>
      </c>
      <c r="F8" s="19">
        <v>340</v>
      </c>
      <c r="G8" s="2" t="s">
        <v>16</v>
      </c>
      <c r="N8" s="13" t="s">
        <v>17</v>
      </c>
      <c r="O8" s="20">
        <v>2.4</v>
      </c>
      <c r="Q8" s="13" t="s">
        <v>18</v>
      </c>
      <c r="R8" s="17">
        <v>29</v>
      </c>
    </row>
    <row r="9" spans="2:18" x14ac:dyDescent="0.2">
      <c r="B9" s="2" t="s">
        <v>19</v>
      </c>
      <c r="F9" s="21">
        <f>O17</f>
        <v>2.0546624746450304</v>
      </c>
      <c r="G9" s="2" t="s">
        <v>20</v>
      </c>
      <c r="N9" s="13" t="s">
        <v>21</v>
      </c>
      <c r="O9" s="22">
        <f t="shared" ref="O9" si="1">O8*O7</f>
        <v>775.19999999999993</v>
      </c>
      <c r="Q9" s="13" t="s">
        <v>6</v>
      </c>
      <c r="R9" s="22">
        <f>IF(R5&gt;0,R5*R6*R7/R8,0)</f>
        <v>7586.2068965517237</v>
      </c>
    </row>
    <row r="10" spans="2:18" ht="15.75" x14ac:dyDescent="0.25">
      <c r="B10" s="2" t="s">
        <v>22</v>
      </c>
      <c r="G10" s="23"/>
      <c r="I10" s="24">
        <f>F8*F9</f>
        <v>698.58524137931033</v>
      </c>
      <c r="J10" s="25">
        <f>I10*$F$5</f>
        <v>153688.75310344828</v>
      </c>
      <c r="N10" s="13" t="s">
        <v>23</v>
      </c>
      <c r="O10" s="16">
        <v>3.5000000000000003E-2</v>
      </c>
      <c r="Q10" s="13" t="s">
        <v>24</v>
      </c>
      <c r="R10" s="26">
        <f>IF(R5&gt;0,R9/R5,0)</f>
        <v>34.482758620689651</v>
      </c>
    </row>
    <row r="11" spans="2:18" x14ac:dyDescent="0.2">
      <c r="G11" s="23"/>
      <c r="I11" s="24"/>
      <c r="J11" s="25"/>
      <c r="N11" s="13" t="s">
        <v>25</v>
      </c>
      <c r="O11" s="27">
        <f t="shared" ref="O11" si="2">O10*O9</f>
        <v>27.132000000000001</v>
      </c>
    </row>
    <row r="12" spans="2:18" ht="15.75" x14ac:dyDescent="0.25">
      <c r="B12" s="1" t="s">
        <v>26</v>
      </c>
      <c r="J12" s="25"/>
      <c r="N12" s="13" t="s">
        <v>27</v>
      </c>
      <c r="O12" s="20">
        <v>15</v>
      </c>
    </row>
    <row r="13" spans="2:18" x14ac:dyDescent="0.2">
      <c r="B13" s="2" t="s">
        <v>28</v>
      </c>
      <c r="C13" s="19">
        <v>29</v>
      </c>
      <c r="D13" s="2" t="s">
        <v>29</v>
      </c>
      <c r="E13" s="28">
        <v>350</v>
      </c>
      <c r="F13" s="2" t="s">
        <v>30</v>
      </c>
      <c r="G13" s="29">
        <v>2</v>
      </c>
      <c r="H13" s="2" t="s">
        <v>31</v>
      </c>
      <c r="I13" s="24">
        <f>E13*G13/C13</f>
        <v>24.137931034482758</v>
      </c>
      <c r="J13" s="25">
        <f>I13*$F$5</f>
        <v>5310.3448275862065</v>
      </c>
      <c r="N13" s="13" t="s">
        <v>32</v>
      </c>
      <c r="O13" s="20">
        <v>34.482758620689651</v>
      </c>
    </row>
    <row r="14" spans="2:18" x14ac:dyDescent="0.2">
      <c r="C14" s="30" t="s">
        <v>33</v>
      </c>
      <c r="I14" s="31">
        <v>5</v>
      </c>
      <c r="J14" s="25">
        <f>I14*$F$5</f>
        <v>1100</v>
      </c>
      <c r="N14" s="13" t="s">
        <v>34</v>
      </c>
      <c r="O14" s="27">
        <f t="shared" ref="O14" si="3">O9-O11-O12-O13</f>
        <v>698.58524137931033</v>
      </c>
    </row>
    <row r="15" spans="2:18" x14ac:dyDescent="0.2">
      <c r="C15" s="30"/>
      <c r="I15" s="31">
        <v>0</v>
      </c>
      <c r="J15" s="25">
        <f>I15*$F$5</f>
        <v>0</v>
      </c>
      <c r="N15" s="13" t="s">
        <v>35</v>
      </c>
      <c r="O15" s="14">
        <f t="shared" ref="O15" si="4">O5</f>
        <v>340</v>
      </c>
    </row>
    <row r="16" spans="2:18" ht="15.75" x14ac:dyDescent="0.25">
      <c r="C16" s="30"/>
      <c r="I16" s="31">
        <v>0</v>
      </c>
      <c r="J16" s="25">
        <f>I16*$F$5</f>
        <v>0</v>
      </c>
      <c r="N16" s="13" t="s">
        <v>36</v>
      </c>
      <c r="O16" s="27">
        <f t="shared" ref="O16" si="5">IF(O7&gt;0,(O11+O12+O13)/O7,0)</f>
        <v>0.23719739511049429</v>
      </c>
      <c r="Q16" s="32" t="s">
        <v>37</v>
      </c>
      <c r="R16" s="33"/>
    </row>
    <row r="17" spans="2:18" ht="15.75" x14ac:dyDescent="0.25">
      <c r="G17" s="23"/>
      <c r="I17" s="24"/>
      <c r="J17" s="25"/>
      <c r="N17" s="13" t="s">
        <v>38</v>
      </c>
      <c r="O17" s="26">
        <f t="shared" ref="O17" si="6">IF(O15&gt;0,O14/O15,0)</f>
        <v>2.0546624746450304</v>
      </c>
      <c r="Q17" s="34" t="s">
        <v>39</v>
      </c>
      <c r="R17" s="34"/>
    </row>
    <row r="18" spans="2:18" ht="15.75" x14ac:dyDescent="0.25">
      <c r="B18" s="1" t="s">
        <v>40</v>
      </c>
      <c r="J18" s="25"/>
      <c r="Q18" s="35" t="s">
        <v>41</v>
      </c>
      <c r="R18" s="10"/>
    </row>
    <row r="19" spans="2:18" ht="15.75" x14ac:dyDescent="0.25">
      <c r="B19" s="2" t="s">
        <v>42</v>
      </c>
      <c r="F19" s="29">
        <v>3</v>
      </c>
      <c r="G19" s="2" t="s">
        <v>43</v>
      </c>
      <c r="J19" s="25"/>
      <c r="Q19" s="36" t="s">
        <v>44</v>
      </c>
      <c r="R19" s="36" t="s">
        <v>45</v>
      </c>
    </row>
    <row r="20" spans="2:18" ht="15.75" x14ac:dyDescent="0.25">
      <c r="B20" s="2" t="s">
        <v>46</v>
      </c>
      <c r="F20" s="37">
        <v>43525</v>
      </c>
      <c r="J20" s="25"/>
      <c r="N20" s="5" t="s">
        <v>47</v>
      </c>
      <c r="O20" s="6"/>
      <c r="P20" s="38"/>
      <c r="Q20" s="39" t="s">
        <v>48</v>
      </c>
      <c r="R20" s="39" t="s">
        <v>49</v>
      </c>
    </row>
    <row r="21" spans="2:18" x14ac:dyDescent="0.2">
      <c r="B21" s="2" t="s">
        <v>50</v>
      </c>
      <c r="F21" s="37">
        <v>43738</v>
      </c>
      <c r="J21" s="25"/>
      <c r="N21" s="38"/>
      <c r="O21" s="38"/>
      <c r="P21" s="38"/>
      <c r="Q21" s="40">
        <v>250</v>
      </c>
      <c r="R21" s="40">
        <v>38</v>
      </c>
    </row>
    <row r="22" spans="2:18" x14ac:dyDescent="0.2">
      <c r="B22" s="2" t="s">
        <v>51</v>
      </c>
      <c r="F22" s="41">
        <f>F23/7</f>
        <v>30.428571428571427</v>
      </c>
      <c r="G22" s="2" t="s">
        <v>52</v>
      </c>
      <c r="H22" s="2" t="s">
        <v>53</v>
      </c>
      <c r="I22" s="42">
        <f>F22*F19</f>
        <v>91.285714285714278</v>
      </c>
      <c r="J22" s="25">
        <f>I22*F5</f>
        <v>20082.857142857141</v>
      </c>
      <c r="N22" s="13" t="s">
        <v>54</v>
      </c>
      <c r="O22" s="43">
        <v>500</v>
      </c>
      <c r="P22" s="38"/>
      <c r="Q22" s="44">
        <v>300</v>
      </c>
      <c r="R22" s="44">
        <v>34</v>
      </c>
    </row>
    <row r="23" spans="2:18" x14ac:dyDescent="0.2">
      <c r="F23" s="41">
        <f>F21-F20</f>
        <v>213</v>
      </c>
      <c r="G23" s="2" t="s">
        <v>55</v>
      </c>
      <c r="J23" s="25"/>
      <c r="N23" s="13" t="s">
        <v>56</v>
      </c>
      <c r="O23" s="14">
        <f>F5</f>
        <v>220</v>
      </c>
      <c r="Q23" s="44">
        <v>350</v>
      </c>
      <c r="R23" s="44">
        <v>30</v>
      </c>
    </row>
    <row r="24" spans="2:18" x14ac:dyDescent="0.2">
      <c r="G24" s="12"/>
      <c r="J24" s="25"/>
      <c r="N24" s="13" t="s">
        <v>57</v>
      </c>
      <c r="O24" s="27">
        <f>IF(O23=0,0,O22/O23)</f>
        <v>2.2727272727272729</v>
      </c>
      <c r="Q24" s="44">
        <v>400</v>
      </c>
      <c r="R24" s="44">
        <v>28</v>
      </c>
    </row>
    <row r="25" spans="2:18" ht="15.75" x14ac:dyDescent="0.25">
      <c r="B25" s="1" t="s">
        <v>58</v>
      </c>
      <c r="C25" s="2" t="s">
        <v>59</v>
      </c>
      <c r="E25" s="45">
        <v>0.05</v>
      </c>
      <c r="I25" s="24">
        <f>(I10+I13+I14+I15+I16)*E25/365*F23</f>
        <v>21.233566537553141</v>
      </c>
      <c r="J25" s="25">
        <f>I25*$F$5</f>
        <v>4671.3846382616912</v>
      </c>
      <c r="N25" s="13" t="s">
        <v>60</v>
      </c>
      <c r="O25" s="20">
        <v>0</v>
      </c>
      <c r="Q25" s="44">
        <v>450</v>
      </c>
      <c r="R25" s="44">
        <v>26</v>
      </c>
    </row>
    <row r="26" spans="2:18" x14ac:dyDescent="0.2">
      <c r="C26" s="2" t="s">
        <v>61</v>
      </c>
      <c r="E26" s="45">
        <v>0.05</v>
      </c>
      <c r="I26" s="24">
        <f>(I22+I34+I35+I36+I37+I38)/2*E26/365*F23</f>
        <v>1.9882778864970645</v>
      </c>
      <c r="J26" s="25">
        <f>I26*$F$5</f>
        <v>437.42113502935416</v>
      </c>
      <c r="N26" s="13" t="s">
        <v>62</v>
      </c>
      <c r="O26" s="20">
        <v>0</v>
      </c>
      <c r="Q26" s="44">
        <v>500</v>
      </c>
      <c r="R26" s="44">
        <v>24</v>
      </c>
    </row>
    <row r="27" spans="2:18" x14ac:dyDescent="0.2">
      <c r="G27" s="12"/>
      <c r="J27" s="25"/>
      <c r="N27" s="13" t="s">
        <v>63</v>
      </c>
      <c r="O27" s="14">
        <f>F8</f>
        <v>340</v>
      </c>
      <c r="Q27" s="44">
        <v>550</v>
      </c>
      <c r="R27" s="44">
        <v>22</v>
      </c>
    </row>
    <row r="28" spans="2:18" ht="15.75" x14ac:dyDescent="0.25">
      <c r="B28" s="1" t="s">
        <v>64</v>
      </c>
      <c r="J28" s="25"/>
      <c r="N28" s="13" t="s">
        <v>65</v>
      </c>
      <c r="O28" s="27">
        <f>IF(O27=0,0,(O24+O25+O26)/O27)</f>
        <v>6.6844919786096264E-3</v>
      </c>
      <c r="Q28" s="44">
        <v>600</v>
      </c>
      <c r="R28" s="44">
        <v>20</v>
      </c>
    </row>
    <row r="29" spans="2:18" x14ac:dyDescent="0.2">
      <c r="B29" s="2" t="s">
        <v>66</v>
      </c>
      <c r="G29" s="46">
        <v>0.45</v>
      </c>
      <c r="H29" s="2" t="s">
        <v>16</v>
      </c>
      <c r="J29" s="25"/>
      <c r="N29" s="13" t="s">
        <v>67</v>
      </c>
      <c r="O29" s="47">
        <v>2.4</v>
      </c>
      <c r="Q29" s="44">
        <v>650</v>
      </c>
      <c r="R29" s="44">
        <v>18</v>
      </c>
    </row>
    <row r="30" spans="2:18" ht="15.75" x14ac:dyDescent="0.25">
      <c r="B30" s="2" t="s">
        <v>68</v>
      </c>
      <c r="E30" s="48"/>
      <c r="G30" s="49">
        <f>F23</f>
        <v>213</v>
      </c>
      <c r="H30" s="2" t="s">
        <v>55</v>
      </c>
      <c r="J30" s="25"/>
      <c r="N30" s="13" t="s">
        <v>69</v>
      </c>
      <c r="O30" s="50">
        <f>O28+O29</f>
        <v>2.4066844919786097</v>
      </c>
    </row>
    <row r="31" spans="2:18" x14ac:dyDescent="0.2">
      <c r="B31" s="2" t="s">
        <v>70</v>
      </c>
      <c r="G31" s="49">
        <f>(G30*G29)+F8</f>
        <v>435.85</v>
      </c>
      <c r="H31" s="2" t="s">
        <v>16</v>
      </c>
      <c r="J31" s="25"/>
    </row>
    <row r="32" spans="2:18" ht="15.75" x14ac:dyDescent="0.25">
      <c r="B32" s="1" t="s">
        <v>71</v>
      </c>
      <c r="C32" s="2" t="s">
        <v>72</v>
      </c>
      <c r="F32" s="51">
        <v>0.01</v>
      </c>
      <c r="I32" s="2"/>
      <c r="J32" s="52"/>
    </row>
    <row r="33" spans="2:18" ht="15.75" x14ac:dyDescent="0.25">
      <c r="B33" s="1" t="s">
        <v>73</v>
      </c>
      <c r="J33" s="25"/>
      <c r="Q33" s="5" t="s">
        <v>3</v>
      </c>
      <c r="R33" s="6"/>
    </row>
    <row r="34" spans="2:18" x14ac:dyDescent="0.2">
      <c r="D34" s="30" t="s">
        <v>74</v>
      </c>
      <c r="E34" s="53"/>
      <c r="I34" s="31">
        <v>10</v>
      </c>
      <c r="J34" s="25">
        <f>I34*$F$5</f>
        <v>2200</v>
      </c>
      <c r="Q34" s="10"/>
      <c r="R34" s="10"/>
    </row>
    <row r="35" spans="2:18" ht="15.75" x14ac:dyDescent="0.25">
      <c r="D35" s="30" t="s">
        <v>75</v>
      </c>
      <c r="E35" s="53"/>
      <c r="I35" s="31">
        <v>5</v>
      </c>
      <c r="J35" s="25">
        <f>I35*$F$5</f>
        <v>1100</v>
      </c>
      <c r="Q35" s="13" t="s">
        <v>9</v>
      </c>
      <c r="R35" s="15">
        <f>G41</f>
        <v>217.8</v>
      </c>
    </row>
    <row r="36" spans="2:18" ht="15.75" x14ac:dyDescent="0.25">
      <c r="D36" s="30" t="s">
        <v>76</v>
      </c>
      <c r="E36" s="53"/>
      <c r="I36" s="31">
        <v>10</v>
      </c>
      <c r="J36" s="25">
        <f>I36*$F$5</f>
        <v>2200</v>
      </c>
      <c r="Q36" s="13" t="s">
        <v>11</v>
      </c>
      <c r="R36" s="17">
        <v>520</v>
      </c>
    </row>
    <row r="37" spans="2:18" ht="15.75" x14ac:dyDescent="0.25">
      <c r="D37" s="30"/>
      <c r="E37" s="53"/>
      <c r="I37" s="31">
        <v>0</v>
      </c>
      <c r="J37" s="25">
        <f>I37*$F$5</f>
        <v>0</v>
      </c>
      <c r="Q37" s="13" t="s">
        <v>14</v>
      </c>
      <c r="R37" s="18">
        <v>2</v>
      </c>
    </row>
    <row r="38" spans="2:18" ht="15.75" x14ac:dyDescent="0.25">
      <c r="D38" s="30" t="s">
        <v>77</v>
      </c>
      <c r="E38" s="53"/>
      <c r="F38" s="23"/>
      <c r="I38" s="31">
        <v>20</v>
      </c>
      <c r="J38" s="25">
        <f>I38*$F$5</f>
        <v>4400</v>
      </c>
      <c r="Q38" s="13" t="s">
        <v>18</v>
      </c>
      <c r="R38" s="17">
        <v>26</v>
      </c>
    </row>
    <row r="39" spans="2:18" ht="15.75" x14ac:dyDescent="0.25">
      <c r="B39" s="54" t="s">
        <v>78</v>
      </c>
      <c r="C39" s="55"/>
      <c r="D39" s="55"/>
      <c r="E39" s="54"/>
      <c r="F39" s="55"/>
      <c r="G39" s="56"/>
      <c r="H39" s="55"/>
      <c r="I39" s="57">
        <f>SUM(I10:I38)</f>
        <v>887.23073112355758</v>
      </c>
      <c r="J39" s="58">
        <f>SUM(J10:J38)</f>
        <v>195190.76084718265</v>
      </c>
      <c r="Q39" s="13" t="s">
        <v>6</v>
      </c>
      <c r="R39" s="22">
        <f>IF(R35&gt;0,R35*R36*R37/R38,0)</f>
        <v>8712</v>
      </c>
    </row>
    <row r="40" spans="2:18" ht="15.75" x14ac:dyDescent="0.25">
      <c r="B40" s="59"/>
      <c r="C40" s="60"/>
      <c r="D40" s="60"/>
      <c r="E40" s="59"/>
      <c r="F40" s="60"/>
      <c r="G40" s="61"/>
      <c r="H40" s="60"/>
      <c r="I40" s="62"/>
      <c r="J40" s="63"/>
      <c r="Q40" s="13" t="s">
        <v>24</v>
      </c>
      <c r="R40" s="26">
        <f>IF(R35&gt;0,R39/R35,0)</f>
        <v>40</v>
      </c>
    </row>
    <row r="41" spans="2:18" ht="15.75" x14ac:dyDescent="0.25">
      <c r="B41" s="1" t="s">
        <v>79</v>
      </c>
      <c r="F41" s="2" t="s">
        <v>80</v>
      </c>
      <c r="G41" s="64">
        <f>F5*(1-F32)</f>
        <v>217.8</v>
      </c>
      <c r="H41" s="23"/>
      <c r="J41" s="25"/>
    </row>
    <row r="42" spans="2:18" x14ac:dyDescent="0.2">
      <c r="B42" s="2" t="s">
        <v>81</v>
      </c>
      <c r="D42" s="29">
        <v>2.5</v>
      </c>
      <c r="E42" s="2" t="s">
        <v>82</v>
      </c>
      <c r="F42" s="65">
        <f>G31</f>
        <v>435.85</v>
      </c>
      <c r="G42" s="2" t="s">
        <v>83</v>
      </c>
      <c r="I42" s="24">
        <f>F42*D42/100*100</f>
        <v>1089.625</v>
      </c>
      <c r="J42" s="25">
        <f>I42*$G$41</f>
        <v>237320.32500000001</v>
      </c>
    </row>
    <row r="43" spans="2:18" x14ac:dyDescent="0.2">
      <c r="B43" s="66" t="s">
        <v>84</v>
      </c>
      <c r="D43" s="2" t="s">
        <v>85</v>
      </c>
      <c r="F43" s="2" t="s">
        <v>86</v>
      </c>
      <c r="I43" s="31">
        <v>5</v>
      </c>
      <c r="J43" s="25">
        <f>I43*$G$41</f>
        <v>1089</v>
      </c>
    </row>
    <row r="44" spans="2:18" x14ac:dyDescent="0.2">
      <c r="F44" s="2" t="s">
        <v>96</v>
      </c>
      <c r="I44" s="31">
        <v>40</v>
      </c>
      <c r="J44" s="25">
        <f>I44*$G$41</f>
        <v>8712</v>
      </c>
    </row>
    <row r="45" spans="2:18" x14ac:dyDescent="0.2">
      <c r="F45" s="2" t="s">
        <v>87</v>
      </c>
      <c r="I45" s="31">
        <v>15</v>
      </c>
      <c r="J45" s="25">
        <f>I45*$G$41</f>
        <v>3267</v>
      </c>
    </row>
    <row r="46" spans="2:18" x14ac:dyDescent="0.2">
      <c r="D46" s="2" t="s">
        <v>88</v>
      </c>
      <c r="F46" s="67">
        <v>0.04</v>
      </c>
      <c r="I46" s="31">
        <f>I42*F46</f>
        <v>43.585000000000001</v>
      </c>
      <c r="J46" s="25">
        <f>I46*$G$41</f>
        <v>9492.8130000000001</v>
      </c>
    </row>
    <row r="47" spans="2:18" ht="15.75" x14ac:dyDescent="0.25">
      <c r="B47" s="54" t="s">
        <v>89</v>
      </c>
      <c r="C47" s="55"/>
      <c r="D47" s="55"/>
      <c r="E47" s="55"/>
      <c r="F47" s="55"/>
      <c r="G47" s="55"/>
      <c r="H47" s="55"/>
      <c r="I47" s="68">
        <f>I42-I43-I44-I45-I46</f>
        <v>986.04</v>
      </c>
      <c r="J47" s="58">
        <f>J42-J43-J44-J45-J46</f>
        <v>214759.51200000002</v>
      </c>
    </row>
    <row r="48" spans="2:18" ht="15.75" x14ac:dyDescent="0.25">
      <c r="B48" s="54" t="s">
        <v>90</v>
      </c>
      <c r="C48" s="55"/>
      <c r="D48" s="55"/>
      <c r="E48" s="69"/>
      <c r="F48" s="55"/>
      <c r="G48" s="55"/>
      <c r="H48" s="55"/>
      <c r="I48" s="68">
        <f>I47-I39</f>
        <v>98.809268876442388</v>
      </c>
      <c r="J48" s="58">
        <f>J47-J39</f>
        <v>19568.751152817364</v>
      </c>
      <c r="M48" s="70"/>
    </row>
    <row r="49" spans="2:11" ht="15.75" x14ac:dyDescent="0.25">
      <c r="B49" s="59"/>
      <c r="C49" s="60"/>
      <c r="D49" s="60"/>
      <c r="E49" s="71"/>
      <c r="F49" s="60"/>
      <c r="G49" s="60"/>
      <c r="H49" s="60"/>
      <c r="I49" s="72"/>
      <c r="J49" s="72"/>
    </row>
    <row r="50" spans="2:11" ht="15.75" x14ac:dyDescent="0.25">
      <c r="B50" s="73" t="s">
        <v>91</v>
      </c>
      <c r="E50" s="74">
        <f>D42-(I48/G31)</f>
        <v>2.273295241765648</v>
      </c>
      <c r="F50" s="75" t="s">
        <v>92</v>
      </c>
    </row>
    <row r="51" spans="2:11" x14ac:dyDescent="0.2">
      <c r="B51" s="76">
        <v>0.54</v>
      </c>
      <c r="C51" s="2" t="s">
        <v>93</v>
      </c>
      <c r="E51" s="77">
        <f>E50*100/B51/100</f>
        <v>4.2098060032697182</v>
      </c>
      <c r="F51" s="2" t="s">
        <v>94</v>
      </c>
      <c r="H51" s="70"/>
    </row>
    <row r="52" spans="2:11" ht="15.75" x14ac:dyDescent="0.25">
      <c r="B52" s="1" t="s">
        <v>95</v>
      </c>
      <c r="E52" s="78">
        <f>F9+(J48/F5/F8)</f>
        <v>2.3162767948698613</v>
      </c>
      <c r="F52" s="75" t="s">
        <v>92</v>
      </c>
    </row>
    <row r="54" spans="2:11" x14ac:dyDescent="0.2">
      <c r="B54" s="23"/>
      <c r="C54" s="23"/>
      <c r="D54" s="23"/>
      <c r="E54" s="23"/>
      <c r="F54" s="23"/>
      <c r="G54" s="23"/>
      <c r="H54" s="23"/>
      <c r="I54" s="79"/>
      <c r="J54" s="79"/>
      <c r="K54" s="23"/>
    </row>
    <row r="55" spans="2:11" x14ac:dyDescent="0.2">
      <c r="B55" s="23"/>
      <c r="C55" s="23"/>
      <c r="D55" s="23"/>
      <c r="E55" s="80"/>
      <c r="F55" s="23"/>
      <c r="G55" s="23"/>
      <c r="H55" s="23"/>
      <c r="I55" s="79"/>
      <c r="J55" s="79"/>
      <c r="K55" s="23"/>
    </row>
    <row r="56" spans="2:11" x14ac:dyDescent="0.2">
      <c r="B56" s="23"/>
      <c r="C56" s="23"/>
      <c r="D56" s="23"/>
      <c r="E56" s="23"/>
      <c r="F56" s="23"/>
      <c r="G56" s="23"/>
      <c r="H56" s="23"/>
      <c r="I56" s="79"/>
      <c r="J56" s="79"/>
      <c r="K56" s="23"/>
    </row>
    <row r="57" spans="2:11" x14ac:dyDescent="0.2">
      <c r="B57" s="23"/>
      <c r="C57" s="23"/>
      <c r="D57" s="23"/>
      <c r="E57" s="23"/>
      <c r="F57" s="23"/>
      <c r="G57" s="23"/>
      <c r="H57" s="23"/>
      <c r="I57" s="79"/>
      <c r="J57" s="79"/>
      <c r="K57" s="23"/>
    </row>
    <row r="58" spans="2:11" x14ac:dyDescent="0.2">
      <c r="B58" s="23"/>
      <c r="C58" s="23"/>
      <c r="D58" s="23"/>
      <c r="E58" s="23"/>
      <c r="F58" s="23"/>
      <c r="G58" s="23"/>
      <c r="H58" s="23"/>
      <c r="I58" s="79"/>
      <c r="J58" s="79"/>
      <c r="K58" s="23"/>
    </row>
    <row r="59" spans="2:11" x14ac:dyDescent="0.2">
      <c r="B59" s="23"/>
      <c r="C59" s="23"/>
      <c r="D59" s="23"/>
      <c r="E59" s="23"/>
      <c r="F59" s="23"/>
      <c r="G59" s="23"/>
      <c r="H59" s="23"/>
      <c r="I59" s="79"/>
      <c r="J59" s="79"/>
      <c r="K59" s="23"/>
    </row>
    <row r="60" spans="2:11" x14ac:dyDescent="0.2">
      <c r="B60" s="23"/>
      <c r="C60" s="23"/>
      <c r="D60" s="23"/>
      <c r="E60" s="23"/>
      <c r="F60" s="23"/>
      <c r="G60" s="23"/>
      <c r="H60" s="23"/>
      <c r="I60" s="79"/>
      <c r="J60" s="79"/>
      <c r="K60" s="23"/>
    </row>
    <row r="61" spans="2:11" x14ac:dyDescent="0.2">
      <c r="B61" s="23"/>
      <c r="C61" s="23"/>
      <c r="D61" s="23"/>
      <c r="E61" s="23"/>
      <c r="F61" s="23"/>
      <c r="G61" s="23"/>
      <c r="H61" s="23"/>
      <c r="I61" s="79"/>
      <c r="J61" s="79"/>
      <c r="K61" s="23"/>
    </row>
    <row r="62" spans="2:11" x14ac:dyDescent="0.2">
      <c r="B62" s="23"/>
      <c r="C62" s="23"/>
      <c r="D62" s="23"/>
      <c r="E62" s="23"/>
      <c r="F62" s="23"/>
      <c r="G62" s="23"/>
      <c r="H62" s="23"/>
      <c r="I62" s="79"/>
      <c r="J62" s="79"/>
      <c r="K62" s="23"/>
    </row>
    <row r="63" spans="2:11" x14ac:dyDescent="0.2">
      <c r="B63" s="23"/>
      <c r="C63" s="23"/>
      <c r="D63" s="23"/>
      <c r="E63" s="23"/>
      <c r="F63" s="23"/>
      <c r="G63" s="23"/>
      <c r="H63" s="23"/>
      <c r="I63" s="79"/>
      <c r="J63" s="79"/>
      <c r="K63" s="23"/>
    </row>
    <row r="64" spans="2:11" x14ac:dyDescent="0.2">
      <c r="B64" s="23"/>
      <c r="C64" s="23"/>
      <c r="D64" s="23"/>
      <c r="E64" s="23"/>
      <c r="F64" s="23"/>
      <c r="G64" s="23"/>
      <c r="H64" s="23"/>
      <c r="I64" s="79"/>
      <c r="J64" s="79"/>
      <c r="K64" s="23"/>
    </row>
    <row r="65" spans="2:11" x14ac:dyDescent="0.2">
      <c r="B65" s="23"/>
      <c r="C65" s="23"/>
      <c r="D65" s="23"/>
      <c r="E65" s="23"/>
      <c r="F65" s="23"/>
      <c r="G65" s="23"/>
      <c r="H65" s="23"/>
      <c r="I65" s="79"/>
      <c r="J65" s="79"/>
      <c r="K65" s="23"/>
    </row>
    <row r="66" spans="2:11" x14ac:dyDescent="0.2">
      <c r="B66" s="23"/>
      <c r="C66" s="23"/>
      <c r="D66" s="23"/>
      <c r="E66" s="23"/>
      <c r="F66" s="23"/>
      <c r="G66" s="23"/>
      <c r="H66" s="23"/>
      <c r="I66" s="79"/>
      <c r="J66" s="79"/>
      <c r="K66" s="23"/>
    </row>
    <row r="67" spans="2:11" x14ac:dyDescent="0.2">
      <c r="B67" s="23"/>
      <c r="C67" s="23"/>
      <c r="D67" s="23"/>
      <c r="E67" s="23"/>
      <c r="F67" s="23"/>
      <c r="G67" s="23"/>
      <c r="H67" s="23"/>
      <c r="I67" s="79"/>
      <c r="J67" s="79"/>
      <c r="K67" s="23"/>
    </row>
    <row r="68" spans="2:11" x14ac:dyDescent="0.2">
      <c r="B68" s="23"/>
      <c r="C68" s="23"/>
      <c r="D68" s="23"/>
      <c r="E68" s="23"/>
      <c r="F68" s="23"/>
      <c r="G68" s="23"/>
      <c r="H68" s="23"/>
      <c r="I68" s="79"/>
      <c r="J68" s="79"/>
      <c r="K68" s="23"/>
    </row>
    <row r="69" spans="2:11" x14ac:dyDescent="0.2">
      <c r="B69" s="23"/>
      <c r="C69" s="23"/>
      <c r="D69" s="23"/>
      <c r="E69" s="23"/>
      <c r="F69" s="23"/>
      <c r="G69" s="23"/>
      <c r="H69" s="23"/>
      <c r="I69" s="79"/>
      <c r="J69" s="79"/>
      <c r="K69" s="23"/>
    </row>
    <row r="70" spans="2:11" x14ac:dyDescent="0.2">
      <c r="B70" s="23"/>
      <c r="C70" s="23"/>
      <c r="D70" s="23"/>
      <c r="E70" s="23"/>
      <c r="F70" s="23"/>
      <c r="G70" s="23"/>
      <c r="H70" s="23"/>
      <c r="I70" s="79"/>
      <c r="J70" s="79"/>
      <c r="K70" s="23"/>
    </row>
    <row r="71" spans="2:11" x14ac:dyDescent="0.2">
      <c r="B71" s="23"/>
      <c r="C71" s="23"/>
      <c r="D71" s="23"/>
      <c r="E71" s="23"/>
      <c r="F71" s="23"/>
      <c r="G71" s="23"/>
      <c r="H71" s="23"/>
      <c r="I71" s="79"/>
      <c r="J71" s="79"/>
      <c r="K71" s="23"/>
    </row>
    <row r="72" spans="2:11" x14ac:dyDescent="0.2">
      <c r="B72" s="23"/>
      <c r="C72" s="23"/>
      <c r="D72" s="23"/>
      <c r="E72" s="23"/>
      <c r="F72" s="23"/>
      <c r="G72" s="23"/>
      <c r="H72" s="23"/>
      <c r="I72" s="79"/>
      <c r="J72" s="79"/>
      <c r="K72" s="23"/>
    </row>
    <row r="73" spans="2:11" x14ac:dyDescent="0.2">
      <c r="B73" s="23"/>
      <c r="C73" s="23"/>
      <c r="D73" s="23"/>
      <c r="E73" s="23"/>
      <c r="F73" s="23"/>
      <c r="G73" s="23"/>
      <c r="H73" s="23"/>
      <c r="I73" s="79"/>
      <c r="J73" s="79"/>
      <c r="K73" s="23"/>
    </row>
    <row r="74" spans="2:11" x14ac:dyDescent="0.2">
      <c r="B74" s="23"/>
      <c r="C74" s="23"/>
      <c r="D74" s="23"/>
      <c r="E74" s="23"/>
      <c r="F74" s="23"/>
      <c r="G74" s="23"/>
      <c r="H74" s="23"/>
      <c r="I74" s="79"/>
      <c r="J74" s="79"/>
      <c r="K74" s="23"/>
    </row>
    <row r="75" spans="2:11" x14ac:dyDescent="0.2">
      <c r="B75" s="23"/>
      <c r="C75" s="23"/>
      <c r="D75" s="23"/>
      <c r="E75" s="23"/>
      <c r="F75" s="23"/>
      <c r="G75" s="23"/>
      <c r="H75" s="23"/>
      <c r="I75" s="79"/>
      <c r="J75" s="79"/>
      <c r="K75" s="23"/>
    </row>
    <row r="76" spans="2:11" x14ac:dyDescent="0.2">
      <c r="B76" s="23"/>
      <c r="C76" s="23"/>
      <c r="D76" s="23"/>
      <c r="E76" s="23"/>
      <c r="F76" s="23"/>
      <c r="G76" s="23"/>
      <c r="H76" s="23"/>
      <c r="I76" s="79"/>
      <c r="J76" s="79"/>
      <c r="K76" s="23"/>
    </row>
    <row r="77" spans="2:11" x14ac:dyDescent="0.2">
      <c r="B77" s="23"/>
      <c r="C77" s="23"/>
      <c r="D77" s="23"/>
      <c r="E77" s="23"/>
      <c r="F77" s="23"/>
      <c r="G77" s="23"/>
      <c r="H77" s="23"/>
      <c r="I77" s="79"/>
      <c r="J77" s="79"/>
      <c r="K77" s="23"/>
    </row>
    <row r="78" spans="2:11" x14ac:dyDescent="0.2">
      <c r="B78" s="23"/>
      <c r="C78" s="23"/>
      <c r="D78" s="23"/>
      <c r="E78" s="23"/>
      <c r="F78" s="23"/>
      <c r="G78" s="23"/>
      <c r="H78" s="23"/>
      <c r="I78" s="79"/>
      <c r="J78" s="79"/>
      <c r="K78" s="23"/>
    </row>
    <row r="79" spans="2:11" x14ac:dyDescent="0.2">
      <c r="B79" s="23"/>
      <c r="C79" s="23"/>
      <c r="D79" s="23"/>
      <c r="E79" s="23"/>
      <c r="F79" s="23"/>
      <c r="G79" s="23"/>
      <c r="H79" s="23"/>
      <c r="I79" s="79"/>
      <c r="J79" s="79"/>
      <c r="K79" s="23"/>
    </row>
    <row r="80" spans="2:11" x14ac:dyDescent="0.2">
      <c r="B80" s="23"/>
      <c r="C80" s="23"/>
      <c r="D80" s="23"/>
      <c r="E80" s="23"/>
      <c r="F80" s="23"/>
      <c r="G80" s="23"/>
      <c r="H80" s="23"/>
      <c r="I80" s="79"/>
      <c r="J80" s="79"/>
      <c r="K80" s="23"/>
    </row>
    <row r="81" spans="2:11" x14ac:dyDescent="0.2">
      <c r="B81" s="23"/>
      <c r="C81" s="23"/>
      <c r="D81" s="23"/>
      <c r="E81" s="23"/>
      <c r="F81" s="23"/>
      <c r="G81" s="23"/>
      <c r="H81" s="23"/>
      <c r="I81" s="79"/>
      <c r="J81" s="79"/>
      <c r="K81" s="23"/>
    </row>
    <row r="82" spans="2:11" x14ac:dyDescent="0.2">
      <c r="B82" s="23"/>
      <c r="C82" s="23"/>
      <c r="D82" s="23"/>
      <c r="E82" s="23"/>
      <c r="F82" s="23"/>
      <c r="G82" s="23"/>
      <c r="H82" s="23"/>
      <c r="I82" s="79"/>
      <c r="J82" s="79"/>
      <c r="K82" s="23"/>
    </row>
    <row r="83" spans="2:11" x14ac:dyDescent="0.2">
      <c r="B83" s="23"/>
      <c r="C83" s="23"/>
      <c r="D83" s="23"/>
      <c r="E83" s="23"/>
      <c r="F83" s="23"/>
      <c r="G83" s="23"/>
      <c r="H83" s="23"/>
      <c r="I83" s="79"/>
      <c r="J83" s="79"/>
      <c r="K83" s="23"/>
    </row>
    <row r="84" spans="2:11" x14ac:dyDescent="0.2">
      <c r="B84" s="23"/>
      <c r="C84" s="23"/>
      <c r="D84" s="23"/>
      <c r="E84" s="23"/>
      <c r="F84" s="23"/>
      <c r="G84" s="23"/>
      <c r="H84" s="23"/>
      <c r="I84" s="79"/>
      <c r="J84" s="79"/>
      <c r="K84" s="23"/>
    </row>
    <row r="85" spans="2:11" x14ac:dyDescent="0.2">
      <c r="B85" s="23"/>
      <c r="C85" s="23"/>
      <c r="D85" s="23"/>
      <c r="E85" s="23"/>
      <c r="F85" s="23"/>
      <c r="G85" s="23"/>
      <c r="H85" s="23"/>
      <c r="I85" s="79"/>
      <c r="J85" s="79"/>
      <c r="K85" s="23"/>
    </row>
    <row r="86" spans="2:11" x14ac:dyDescent="0.2">
      <c r="B86" s="23"/>
      <c r="C86" s="23"/>
      <c r="D86" s="23"/>
      <c r="E86" s="23"/>
      <c r="F86" s="23"/>
      <c r="G86" s="23"/>
      <c r="H86" s="23"/>
      <c r="I86" s="79"/>
      <c r="J86" s="79"/>
      <c r="K86" s="23"/>
    </row>
    <row r="87" spans="2:11" x14ac:dyDescent="0.2">
      <c r="B87" s="23"/>
      <c r="C87" s="23"/>
      <c r="D87" s="23"/>
      <c r="E87" s="23"/>
      <c r="F87" s="23"/>
      <c r="G87" s="23"/>
      <c r="H87" s="23"/>
      <c r="I87" s="79"/>
      <c r="J87" s="79"/>
      <c r="K87" s="23"/>
    </row>
    <row r="88" spans="2:11" x14ac:dyDescent="0.2">
      <c r="B88" s="23"/>
      <c r="C88" s="23"/>
      <c r="D88" s="23"/>
      <c r="E88" s="23"/>
      <c r="F88" s="23"/>
      <c r="G88" s="23"/>
      <c r="H88" s="23"/>
      <c r="I88" s="79"/>
      <c r="J88" s="79"/>
      <c r="K88" s="23"/>
    </row>
    <row r="89" spans="2:11" x14ac:dyDescent="0.2">
      <c r="B89" s="23"/>
      <c r="C89" s="23"/>
      <c r="D89" s="23"/>
      <c r="E89" s="23"/>
      <c r="F89" s="23"/>
      <c r="G89" s="23"/>
      <c r="H89" s="23"/>
      <c r="I89" s="79"/>
      <c r="J89" s="79"/>
      <c r="K89" s="23"/>
    </row>
    <row r="90" spans="2:11" x14ac:dyDescent="0.2">
      <c r="B90" s="23"/>
      <c r="C90" s="23"/>
      <c r="D90" s="23"/>
      <c r="E90" s="23"/>
      <c r="F90" s="23"/>
      <c r="G90" s="23"/>
      <c r="H90" s="23"/>
      <c r="I90" s="79"/>
      <c r="J90" s="79"/>
      <c r="K90" s="23"/>
    </row>
    <row r="91" spans="2:11" x14ac:dyDescent="0.2">
      <c r="B91" s="23"/>
      <c r="C91" s="23"/>
      <c r="D91" s="23"/>
      <c r="E91" s="23"/>
      <c r="F91" s="23"/>
      <c r="G91" s="23"/>
      <c r="H91" s="23"/>
      <c r="I91" s="79"/>
      <c r="J91" s="79"/>
      <c r="K91" s="23"/>
    </row>
    <row r="92" spans="2:11" x14ac:dyDescent="0.2">
      <c r="B92" s="23"/>
      <c r="C92" s="23"/>
      <c r="D92" s="23"/>
      <c r="E92" s="23"/>
      <c r="F92" s="23"/>
      <c r="G92" s="23"/>
      <c r="H92" s="23"/>
      <c r="I92" s="79"/>
      <c r="J92" s="79"/>
      <c r="K92" s="23"/>
    </row>
    <row r="93" spans="2:11" x14ac:dyDescent="0.2">
      <c r="B93" s="23"/>
      <c r="C93" s="23"/>
      <c r="D93" s="23"/>
      <c r="E93" s="23"/>
      <c r="F93" s="23"/>
      <c r="G93" s="23"/>
      <c r="H93" s="23"/>
      <c r="I93" s="79"/>
      <c r="J93" s="79"/>
      <c r="K93" s="23"/>
    </row>
    <row r="94" spans="2:11" x14ac:dyDescent="0.2">
      <c r="B94" s="23"/>
      <c r="C94" s="23"/>
      <c r="D94" s="23"/>
      <c r="E94" s="23"/>
      <c r="F94" s="23"/>
      <c r="G94" s="23"/>
      <c r="H94" s="23"/>
      <c r="I94" s="79"/>
      <c r="J94" s="79"/>
      <c r="K94" s="23"/>
    </row>
    <row r="95" spans="2:11" x14ac:dyDescent="0.2">
      <c r="B95" s="23"/>
      <c r="C95" s="23"/>
      <c r="D95" s="23"/>
      <c r="E95" s="23"/>
      <c r="F95" s="23"/>
      <c r="G95" s="23"/>
      <c r="H95" s="23"/>
      <c r="I95" s="79"/>
      <c r="J95" s="79"/>
      <c r="K95" s="23"/>
    </row>
    <row r="96" spans="2:11" x14ac:dyDescent="0.2">
      <c r="B96" s="23"/>
      <c r="C96" s="23"/>
      <c r="D96" s="23"/>
      <c r="E96" s="23"/>
      <c r="F96" s="23"/>
      <c r="G96" s="23"/>
      <c r="H96" s="23"/>
      <c r="I96" s="79"/>
      <c r="J96" s="79"/>
      <c r="K9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Agist costs and returns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2019-03-01T05:31:39Z</dcterms:created>
  <dcterms:modified xsi:type="dcterms:W3CDTF">2019-05-28T01:37:34Z</dcterms:modified>
</cp:coreProperties>
</file>