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rdj3\Desktop\Marees\"/>
    </mc:Choice>
  </mc:AlternateContent>
  <bookViews>
    <workbookView xWindow="-20" yWindow="6230" windowWidth="15480" windowHeight="6270"/>
  </bookViews>
  <sheets>
    <sheet name="Cowtrade" sheetId="1" r:id="rId1"/>
  </sheets>
  <definedNames>
    <definedName name="\_">#REF!</definedName>
    <definedName name="Calculators">Cowtrade!$P$42</definedName>
    <definedName name="CLEAR">#REF!</definedName>
    <definedName name="CLEARSUMM">#REF!</definedName>
    <definedName name="CSMOVE">#REF!</definedName>
    <definedName name="DataEntry">Cowtrade!$B$9</definedName>
    <definedName name="DATAFILE">#REF!</definedName>
    <definedName name="DATE">#REF!</definedName>
    <definedName name="FILE">#REF!</definedName>
    <definedName name="HOME">Cowtrade!$B$1</definedName>
    <definedName name="LAYOUT1">#REF!</definedName>
    <definedName name="LAYOUT2">#REF!</definedName>
    <definedName name="MACROS">#REF!</definedName>
    <definedName name="MENU">#REF!</definedName>
    <definedName name="NotePad">Cowtrade!$C$93</definedName>
    <definedName name="PRINT">#REF!</definedName>
    <definedName name="RESTORESUMM">#REF!</definedName>
    <definedName name="SAMEPATH">#REF!</definedName>
    <definedName name="SCREEN">#REF!</definedName>
    <definedName name="SensitivityTables">Cowtrade!$B$62</definedName>
    <definedName name="SOURCE">#REF!</definedName>
    <definedName name="Summaries">Cowtrade!$H$8</definedName>
    <definedName name="SUMMARY">#REF!</definedName>
    <definedName name="TRANSFER">#REF!</definedName>
  </definedNames>
  <calcPr calcId="162913"/>
</workbook>
</file>

<file path=xl/calcChain.xml><?xml version="1.0" encoding="utf-8"?>
<calcChain xmlns="http://schemas.openxmlformats.org/spreadsheetml/2006/main">
  <c r="R33" i="1" l="1"/>
  <c r="R34" i="1" s="1"/>
  <c r="R36" i="1" s="1"/>
  <c r="R37" i="1" s="1"/>
  <c r="R30" i="1"/>
  <c r="R12" i="1" l="1"/>
  <c r="R14" i="1" s="1"/>
  <c r="R22" i="1" l="1"/>
  <c r="R16" i="1"/>
  <c r="R18" i="1" l="1"/>
  <c r="R21" i="1" l="1"/>
  <c r="R24" i="1" s="1"/>
  <c r="R23" i="1"/>
  <c r="R56" i="1" l="1"/>
  <c r="Q56" i="1"/>
  <c r="W48" i="1"/>
  <c r="AC15" i="1"/>
  <c r="AG30" i="1"/>
  <c r="AF30" i="1"/>
  <c r="AC14" i="1"/>
  <c r="D14" i="1" s="1"/>
  <c r="AC13" i="1"/>
  <c r="D13" i="1" s="1"/>
  <c r="N10" i="1"/>
  <c r="M10" i="1"/>
  <c r="L10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AH26" i="1"/>
  <c r="AI22" i="1" s="1"/>
  <c r="AJ22" i="1" s="1"/>
  <c r="R44" i="1"/>
  <c r="R46" i="1" s="1"/>
  <c r="R49" i="1" s="1"/>
  <c r="R53" i="1" s="1"/>
  <c r="Q44" i="1"/>
  <c r="Q46" i="1" s="1"/>
  <c r="Q49" i="1" s="1"/>
  <c r="Q53" i="1" s="1"/>
  <c r="Q54" i="1" s="1"/>
  <c r="K65" i="1"/>
  <c r="I65" i="1" s="1"/>
  <c r="F65" i="1"/>
  <c r="K64" i="1"/>
  <c r="I64" i="1"/>
  <c r="C47" i="1"/>
  <c r="F64" i="1"/>
  <c r="M64" i="1" s="1"/>
  <c r="C88" i="1"/>
  <c r="C87" i="1" s="1"/>
  <c r="C86" i="1" s="1"/>
  <c r="C80" i="1"/>
  <c r="C81" i="1" s="1"/>
  <c r="C82" i="1" s="1"/>
  <c r="C72" i="1"/>
  <c r="C73" i="1" s="1"/>
  <c r="C74" i="1" s="1"/>
  <c r="L67" i="1"/>
  <c r="M67" i="1" s="1"/>
  <c r="N67" i="1" s="1"/>
  <c r="F67" i="1"/>
  <c r="G67" i="1" s="1"/>
  <c r="H67" i="1" s="1"/>
  <c r="AC16" i="1"/>
  <c r="AH30" i="1"/>
  <c r="M65" i="1" l="1"/>
  <c r="AI20" i="1"/>
  <c r="AJ20" i="1" s="1"/>
  <c r="AI13" i="1"/>
  <c r="AJ13" i="1" s="1"/>
  <c r="AI18" i="1"/>
  <c r="AJ18" i="1" s="1"/>
  <c r="AI17" i="1"/>
  <c r="AJ17" i="1" s="1"/>
  <c r="AI23" i="1"/>
  <c r="AJ23" i="1" s="1"/>
  <c r="AI21" i="1"/>
  <c r="AJ21" i="1" s="1"/>
  <c r="AI24" i="1"/>
  <c r="AJ24" i="1" s="1"/>
  <c r="AI15" i="1"/>
  <c r="AJ15" i="1" s="1"/>
  <c r="AI16" i="1"/>
  <c r="AJ16" i="1" s="1"/>
  <c r="AI14" i="1"/>
  <c r="AJ14" i="1" s="1"/>
  <c r="AI19" i="1"/>
  <c r="AJ19" i="1" s="1"/>
  <c r="C89" i="1"/>
  <c r="C90" i="1" s="1"/>
  <c r="C79" i="1"/>
  <c r="C78" i="1" s="1"/>
  <c r="K67" i="1"/>
  <c r="J67" i="1" s="1"/>
  <c r="R54" i="1"/>
  <c r="S53" i="1"/>
  <c r="C40" i="1"/>
  <c r="C44" i="1" s="1"/>
  <c r="AM19" i="1"/>
  <c r="AM14" i="1"/>
  <c r="AM13" i="1"/>
  <c r="AM22" i="1"/>
  <c r="AN22" i="1" s="1"/>
  <c r="AM16" i="1"/>
  <c r="AM18" i="1"/>
  <c r="AM17" i="1"/>
  <c r="AM15" i="1"/>
  <c r="AN15" i="1" s="1"/>
  <c r="AM24" i="1"/>
  <c r="D16" i="1"/>
  <c r="C39" i="1"/>
  <c r="D11" i="1"/>
  <c r="AM20" i="1"/>
  <c r="AN20" i="1" s="1"/>
  <c r="AM21" i="1"/>
  <c r="AN21" i="1" s="1"/>
  <c r="AM23" i="1"/>
  <c r="AN23" i="1" s="1"/>
  <c r="C38" i="1"/>
  <c r="D15" i="1"/>
  <c r="C71" i="1"/>
  <c r="C70" i="1" s="1"/>
  <c r="F72" i="1"/>
  <c r="E72" i="1" s="1"/>
  <c r="D72" i="1" s="1"/>
  <c r="E67" i="1"/>
  <c r="D67" i="1" s="1"/>
  <c r="AN18" i="1" l="1"/>
  <c r="AN13" i="1"/>
  <c r="AN24" i="1"/>
  <c r="AN19" i="1"/>
  <c r="AN17" i="1"/>
  <c r="AN16" i="1"/>
  <c r="AJ26" i="1"/>
  <c r="AN14" i="1"/>
  <c r="AI26" i="1"/>
  <c r="G72" i="1"/>
  <c r="H72" i="1" s="1"/>
  <c r="C51" i="1"/>
  <c r="C42" i="1"/>
  <c r="C52" i="1"/>
  <c r="C50" i="1"/>
  <c r="F73" i="1"/>
  <c r="F74" i="1" s="1"/>
  <c r="F71" i="1"/>
  <c r="G71" i="1" s="1"/>
  <c r="AN26" i="1" l="1"/>
  <c r="C43" i="1" s="1"/>
  <c r="E71" i="1"/>
  <c r="D71" i="1" s="1"/>
  <c r="G73" i="1"/>
  <c r="H73" i="1" s="1"/>
  <c r="E73" i="1"/>
  <c r="D73" i="1" s="1"/>
  <c r="F70" i="1"/>
  <c r="G70" i="1" s="1"/>
  <c r="C53" i="1"/>
  <c r="C57" i="1" s="1"/>
  <c r="L72" i="1" s="1"/>
  <c r="C45" i="1"/>
  <c r="D80" i="1" s="1"/>
  <c r="H71" i="1"/>
  <c r="G74" i="1"/>
  <c r="E74" i="1"/>
  <c r="E70" i="1" l="1"/>
  <c r="D70" i="1" s="1"/>
  <c r="D78" i="1" s="1"/>
  <c r="H81" i="1"/>
  <c r="G79" i="1"/>
  <c r="G64" i="1"/>
  <c r="E79" i="1"/>
  <c r="L80" i="1"/>
  <c r="D79" i="1"/>
  <c r="E80" i="1"/>
  <c r="H80" i="1"/>
  <c r="G80" i="1"/>
  <c r="D81" i="1"/>
  <c r="F81" i="1"/>
  <c r="E81" i="1"/>
  <c r="F78" i="1"/>
  <c r="G81" i="1"/>
  <c r="L65" i="1"/>
  <c r="H79" i="1"/>
  <c r="N65" i="1"/>
  <c r="F80" i="1"/>
  <c r="J65" i="1"/>
  <c r="F82" i="1"/>
  <c r="F79" i="1"/>
  <c r="N64" i="1"/>
  <c r="C55" i="1"/>
  <c r="L88" i="1" s="1"/>
  <c r="G65" i="1"/>
  <c r="C58" i="1"/>
  <c r="L64" i="1"/>
  <c r="C48" i="1"/>
  <c r="J64" i="1"/>
  <c r="L73" i="1"/>
  <c r="L71" i="1"/>
  <c r="M72" i="1"/>
  <c r="K72" i="1"/>
  <c r="D74" i="1"/>
  <c r="D82" i="1" s="1"/>
  <c r="E82" i="1"/>
  <c r="G82" i="1"/>
  <c r="H74" i="1"/>
  <c r="H82" i="1" s="1"/>
  <c r="H70" i="1"/>
  <c r="H78" i="1" s="1"/>
  <c r="G78" i="1"/>
  <c r="E78" i="1" l="1"/>
  <c r="C59" i="1"/>
  <c r="N72" i="1"/>
  <c r="N80" i="1" s="1"/>
  <c r="M80" i="1"/>
  <c r="K71" i="1"/>
  <c r="L70" i="1"/>
  <c r="L79" i="1"/>
  <c r="M71" i="1"/>
  <c r="L81" i="1"/>
  <c r="K73" i="1"/>
  <c r="M73" i="1"/>
  <c r="L74" i="1"/>
  <c r="K80" i="1"/>
  <c r="J72" i="1"/>
  <c r="J80" i="1" s="1"/>
  <c r="K88" i="1"/>
  <c r="L89" i="1"/>
  <c r="M88" i="1"/>
  <c r="L87" i="1"/>
  <c r="F88" i="1"/>
  <c r="L78" i="1" l="1"/>
  <c r="M70" i="1"/>
  <c r="K70" i="1"/>
  <c r="L86" i="1"/>
  <c r="M87" i="1"/>
  <c r="K87" i="1"/>
  <c r="F87" i="1"/>
  <c r="H65" i="1" s="1"/>
  <c r="M79" i="1"/>
  <c r="N71" i="1"/>
  <c r="N79" i="1" s="1"/>
  <c r="N88" i="1"/>
  <c r="H88" i="1" s="1"/>
  <c r="G88" i="1"/>
  <c r="K89" i="1"/>
  <c r="M89" i="1"/>
  <c r="L90" i="1"/>
  <c r="F89" i="1"/>
  <c r="J88" i="1"/>
  <c r="D88" i="1" s="1"/>
  <c r="E88" i="1"/>
  <c r="H64" i="1" s="1"/>
  <c r="K74" i="1"/>
  <c r="L82" i="1"/>
  <c r="M74" i="1"/>
  <c r="K79" i="1"/>
  <c r="J71" i="1"/>
  <c r="J79" i="1" s="1"/>
  <c r="M81" i="1"/>
  <c r="N73" i="1"/>
  <c r="N81" i="1" s="1"/>
  <c r="J73" i="1"/>
  <c r="J81" i="1" s="1"/>
  <c r="K81" i="1"/>
  <c r="K90" i="1" l="1"/>
  <c r="M90" i="1"/>
  <c r="F90" i="1"/>
  <c r="J87" i="1"/>
  <c r="D87" i="1" s="1"/>
  <c r="E87" i="1"/>
  <c r="N89" i="1"/>
  <c r="H89" i="1" s="1"/>
  <c r="G89" i="1"/>
  <c r="M82" i="1"/>
  <c r="N74" i="1"/>
  <c r="N82" i="1" s="1"/>
  <c r="M86" i="1"/>
  <c r="K86" i="1"/>
  <c r="F86" i="1"/>
  <c r="K78" i="1"/>
  <c r="J70" i="1"/>
  <c r="J78" i="1" s="1"/>
  <c r="K82" i="1"/>
  <c r="J74" i="1"/>
  <c r="J82" i="1" s="1"/>
  <c r="N70" i="1"/>
  <c r="N78" i="1" s="1"/>
  <c r="M78" i="1"/>
  <c r="N87" i="1"/>
  <c r="H87" i="1" s="1"/>
  <c r="G87" i="1"/>
  <c r="J89" i="1"/>
  <c r="D89" i="1" s="1"/>
  <c r="E89" i="1"/>
  <c r="J86" i="1" l="1"/>
  <c r="D86" i="1" s="1"/>
  <c r="E86" i="1"/>
  <c r="N86" i="1"/>
  <c r="H86" i="1" s="1"/>
  <c r="G86" i="1"/>
  <c r="N90" i="1"/>
  <c r="H90" i="1" s="1"/>
  <c r="G90" i="1"/>
  <c r="J90" i="1"/>
  <c r="D90" i="1" s="1"/>
  <c r="E90" i="1"/>
</calcChain>
</file>

<file path=xl/sharedStrings.xml><?xml version="1.0" encoding="utf-8"?>
<sst xmlns="http://schemas.openxmlformats.org/spreadsheetml/2006/main" count="175" uniqueCount="163">
  <si>
    <t>Note: Use COWTRADE to calculate prospective gross margins on breeder groups with calves. Cows</t>
  </si>
  <si>
    <t xml:space="preserve">         cannot be purchased later than 150 days after calving date. Cows (or progeny) cannot be sold</t>
  </si>
  <si>
    <t xml:space="preserve">         before calving date. Use BULLOCKS program for these exclusions and for females without</t>
  </si>
  <si>
    <t xml:space="preserve">         calves. Prices are to be net of selling and freight costs, with no GST on prices or costs.</t>
  </si>
  <si>
    <t>Data courtesy of Stu McLennan - pers comm 2009</t>
  </si>
  <si>
    <t xml:space="preserve">     (first three columns)</t>
  </si>
  <si>
    <t>Adjust to 1.35 for consistency with BC&amp;D Standard</t>
  </si>
  <si>
    <t>Description of group</t>
  </si>
  <si>
    <t>Start midpoint of second month pregnant</t>
  </si>
  <si>
    <t>Date Numbers</t>
  </si>
  <si>
    <t>MEI%</t>
  </si>
  <si>
    <t>Adjusted</t>
  </si>
  <si>
    <t>Calf</t>
  </si>
  <si>
    <t>Days</t>
  </si>
  <si>
    <t>Pro Rata</t>
  </si>
  <si>
    <t>Starting date for analysis</t>
  </si>
  <si>
    <t>P75</t>
  </si>
  <si>
    <t>Calving date (max 150 days earlier than start)</t>
  </si>
  <si>
    <t>P105</t>
  </si>
  <si>
    <t>Sale date for adults</t>
  </si>
  <si>
    <t>P135</t>
  </si>
  <si>
    <t>Sale date for progeny</t>
  </si>
  <si>
    <t>P165</t>
  </si>
  <si>
    <t>P195</t>
  </si>
  <si>
    <t>Weight of breeders (kg live) at start</t>
  </si>
  <si>
    <t>P225</t>
  </si>
  <si>
    <t>Weight of breeders (kg live) at sale</t>
  </si>
  <si>
    <t>P255</t>
  </si>
  <si>
    <t>L15</t>
  </si>
  <si>
    <t>Weight of progeny (kg) at 5 months</t>
  </si>
  <si>
    <t>L45</t>
  </si>
  <si>
    <t>Weight of progeny (kg) at sale</t>
  </si>
  <si>
    <t>L75</t>
  </si>
  <si>
    <t>Age of progeny (days) at sale</t>
  </si>
  <si>
    <t>L105</t>
  </si>
  <si>
    <t>L135</t>
  </si>
  <si>
    <t>Weighted Average</t>
  </si>
  <si>
    <t>Calving</t>
  </si>
  <si>
    <t>Start</t>
  </si>
  <si>
    <t>Date</t>
  </si>
  <si>
    <t>End Date</t>
  </si>
  <si>
    <t>Weaning rate from breeders</t>
  </si>
  <si>
    <t>Death rate on breeders</t>
  </si>
  <si>
    <t>Assume AE effect for last 210 days of pregnancy and 150 days from birth to end of calf rating.</t>
  </si>
  <si>
    <t>Base AE to 150 days on weaning %.</t>
  </si>
  <si>
    <t>Breeder AE and progeny AE beyond 5 months do not allow for mortalities.</t>
  </si>
  <si>
    <t>Period of rating for breeder (days)</t>
  </si>
  <si>
    <t>Max rating is for last 210 days of pregnancy plus 150 days</t>
  </si>
  <si>
    <t>Period of rating for progeny after 5 months</t>
  </si>
  <si>
    <t>Adult equivalent (AE) rating of breeder</t>
  </si>
  <si>
    <t>Based on rating per calf times weaning %</t>
  </si>
  <si>
    <t>AE rating for breeder and progeny</t>
  </si>
  <si>
    <t>One AE carried for two years will show as 2.00 AE</t>
  </si>
  <si>
    <t>Total gross margin per unit (breeder &amp; progeny)</t>
  </si>
  <si>
    <t>Interest on breeders</t>
  </si>
  <si>
    <t>Capital is average of unit purchase price &amp; breeder sale price</t>
  </si>
  <si>
    <t>Interest on progeny</t>
  </si>
  <si>
    <t>Capital is average of nil starting value and progeny sale price</t>
  </si>
  <si>
    <t>Interest on husbandry costs</t>
  </si>
  <si>
    <t>Assumes all costs incurred at mid-point of cow ownership</t>
  </si>
  <si>
    <t>Total interest/unit on stock &amp; expenses capital</t>
  </si>
  <si>
    <t>Return on livestock &amp; expenses capital</t>
  </si>
  <si>
    <t>Sensitivity to Sale Price Changes:</t>
  </si>
  <si>
    <t>Sensitivity impact:</t>
  </si>
  <si>
    <t>GM/Unit</t>
  </si>
  <si>
    <t>GM/AE</t>
  </si>
  <si>
    <t>GM/Cap</t>
  </si>
  <si>
    <t>Cap/Unit</t>
  </si>
  <si>
    <t>Cap/AE</t>
  </si>
  <si>
    <t>Int/Unit</t>
  </si>
  <si>
    <t>Int/AE</t>
  </si>
  <si>
    <t>GMXI/Unit</t>
  </si>
  <si>
    <t>GMXI/AE</t>
  </si>
  <si>
    <t xml:space="preserve">                                       Progeny sale price:</t>
  </si>
  <si>
    <t>Gross margin/unit before interest</t>
  </si>
  <si>
    <t>Gross margin/unit after interest</t>
  </si>
  <si>
    <t>Price sensitivity can be from $/kg only (i.e not weight), or it will upset AE calculations</t>
  </si>
  <si>
    <t>Gross margin/AE before interest</t>
  </si>
  <si>
    <t>Gross margin/AE after interest</t>
  </si>
  <si>
    <t>Livestock &amp; expenses capital base/AE</t>
  </si>
  <si>
    <t>CALCULATE NET SELLING PRICE/KG:</t>
  </si>
  <si>
    <t>Breeders</t>
  </si>
  <si>
    <t>Progeny</t>
  </si>
  <si>
    <t>CALCULATE TRANSPORT COST/HD:</t>
  </si>
  <si>
    <t xml:space="preserve">    ESTIMATE HEAD/DECK FOR TRANSPORT:</t>
  </si>
  <si>
    <t>Weight at sale (kg live)</t>
  </si>
  <si>
    <t>Transport cost $/deck/km</t>
  </si>
  <si>
    <t>Average</t>
  </si>
  <si>
    <t>Price/kg gross</t>
  </si>
  <si>
    <t>Distance km</t>
  </si>
  <si>
    <t>Liveweight</t>
  </si>
  <si>
    <t>(12.2 m)</t>
  </si>
  <si>
    <t>Number of head/deck</t>
  </si>
  <si>
    <t>Commission and insurance %</t>
  </si>
  <si>
    <t>Transaction levy, yard dues etc</t>
  </si>
  <si>
    <t>Net price/kg live</t>
  </si>
  <si>
    <t>Dressing %</t>
  </si>
  <si>
    <t>Net price/kg dressed</t>
  </si>
  <si>
    <t>Summary of Successive Runs:</t>
  </si>
  <si>
    <t>Starting value/head (net) of group</t>
  </si>
  <si>
    <t>Sale value of breeders (net/head)</t>
  </si>
  <si>
    <t>Sale value of progeny (net/head)</t>
  </si>
  <si>
    <t>Interest rate for Gross Margin after interest</t>
  </si>
  <si>
    <t>Standard weight of one Adult Equivalent (kg)</t>
  </si>
  <si>
    <t>Extra Adult Equivalents for cow weaning a calf</t>
  </si>
  <si>
    <t>Gross Margin /adult equivalent /year</t>
  </si>
  <si>
    <t>Total Gross Margin /unit after interest</t>
  </si>
  <si>
    <t>Gross Margin /AE /year after interest</t>
  </si>
  <si>
    <t>Sensitivity increment - breeder sale value/head</t>
  </si>
  <si>
    <t>Sensitivity increment - progeny sale value/head</t>
  </si>
  <si>
    <t xml:space="preserve">                                       Breeder sale price $/head net:</t>
  </si>
  <si>
    <t>Cow Month</t>
  </si>
  <si>
    <t>Death rate on progeny after 5 months</t>
  </si>
  <si>
    <t>Husbandry cost on breeders ($/head)</t>
  </si>
  <si>
    <t>Husbandry cost on progeny ($/head)</t>
  </si>
  <si>
    <t>Period of rating progeny to 5 months</t>
  </si>
  <si>
    <t>AE rating of progeny to 5 months</t>
  </si>
  <si>
    <t>AE rating of progeny post 5 months</t>
  </si>
  <si>
    <t>Average capital base/AE (12 month equivalent)</t>
  </si>
  <si>
    <t>Head/deck</t>
  </si>
  <si>
    <t>Gross value/head</t>
  </si>
  <si>
    <t>Transport cost/head</t>
  </si>
  <si>
    <t>Commission and insurance/head</t>
  </si>
  <si>
    <t>Net price/head</t>
  </si>
  <si>
    <t>Note Pad:</t>
  </si>
  <si>
    <t>Name:</t>
  </si>
  <si>
    <t>Date:</t>
  </si>
  <si>
    <t>File:</t>
  </si>
  <si>
    <t>Software devised by W.E.Holmes, Townsville, Qld</t>
  </si>
  <si>
    <t xml:space="preserve">                Enter dates as two digits, minus (-), three letters, minus (-), and four digits, e.g 01-Jul-2010</t>
  </si>
  <si>
    <t xml:space="preserve">                Purchased cattle are to be at landed cost. Own cattle are to be at net value if they were to be sold.</t>
  </si>
  <si>
    <t>Comparable with Breedcowplus &amp; Bullocks output</t>
  </si>
  <si>
    <t>Source for loading density: SCARM (2002) Australian Model Code of Practice for the Welfare of Animals. Land Transport of Cattle.</t>
  </si>
  <si>
    <t>Primary Industries Report Series 77. Publishers: CSIRO. Available at http://www.publish.csiro.au/nid/22/pid/2483.htm</t>
  </si>
  <si>
    <t>Cowtrade - Gross Margin Calculator for Breeders - Version 6.02</t>
  </si>
  <si>
    <t>Calculate the value of the owned stock on farm</t>
  </si>
  <si>
    <t>Cow weight in the paddock</t>
  </si>
  <si>
    <t>weight loss to get to sale yards or works</t>
  </si>
  <si>
    <t>Cow weight at saleyards or works</t>
  </si>
  <si>
    <t>Sale price at yards or works ($ /kg live)</t>
  </si>
  <si>
    <t>Gross sale price ($/head)</t>
  </si>
  <si>
    <t>Commission &amp; insurance % on sales</t>
  </si>
  <si>
    <t>Commission &amp; insurance ($/head)</t>
  </si>
  <si>
    <t>Transport cost ($/head)</t>
  </si>
  <si>
    <t>Cow value net of selling expenses</t>
  </si>
  <si>
    <t>Paddock weight</t>
  </si>
  <si>
    <t>Selling cost ($ per kg)</t>
  </si>
  <si>
    <t xml:space="preserve">Net value in the paddock ($/kg) </t>
  </si>
  <si>
    <t>Calculate the landed cost of purchased stock</t>
  </si>
  <si>
    <t>Number purchased</t>
  </si>
  <si>
    <t>Travel cost/head</t>
  </si>
  <si>
    <t>Induction cost/head</t>
  </si>
  <si>
    <t>Average purchase weight live</t>
  </si>
  <si>
    <t>Buying cost per kg</t>
  </si>
  <si>
    <t>Nominal purchase price/kg</t>
  </si>
  <si>
    <t>Landed purchase cost/kg</t>
  </si>
  <si>
    <t>Travel costs (total costs of finding cows)</t>
  </si>
  <si>
    <t>Landed cost per head</t>
  </si>
  <si>
    <t>Summary</t>
  </si>
  <si>
    <t>Drought feeding PTIC cows breakeven analysis</t>
  </si>
  <si>
    <t>$330 /head $400 /t</t>
  </si>
  <si>
    <t>$250 /head $300 /t</t>
  </si>
  <si>
    <t>$297/hd $320/t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</si>
</sst>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0.0000_)"/>
    <numFmt numFmtId="165" formatCode="0_)"/>
    <numFmt numFmtId="166" formatCode="&quot;$&quot;#,##0.00_);\(&quot;$&quot;#,##0.00\)"/>
    <numFmt numFmtId="167" formatCode="0.00_)"/>
    <numFmt numFmtId="168" formatCode="dd\-mmm\-yyyy"/>
    <numFmt numFmtId="169" formatCode="dd\-mmm\-yyyy;@"/>
    <numFmt numFmtId="170" formatCode="&quot;$&quot;#,##0.00_)"/>
    <numFmt numFmtId="171" formatCode="&quot;$&quot;#,##0_)"/>
    <numFmt numFmtId="172" formatCode="&quot;$&quot;#,##0"/>
    <numFmt numFmtId="173" formatCode="&quot;$&quot;#,##0.00"/>
  </numFmts>
  <fonts count="9" x14ac:knownFonts="1">
    <font>
      <sz val="10"/>
      <name val="Courier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indexed="16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gray0625">
        <fgColor indexed="22"/>
        <bgColor indexed="9"/>
      </patternFill>
    </fill>
    <fill>
      <patternFill patternType="gray0625">
        <fgColor indexed="22"/>
        <bgColor indexed="15"/>
      </patternFill>
    </fill>
    <fill>
      <patternFill patternType="solid">
        <fgColor indexed="43"/>
        <bgColor indexed="64"/>
      </patternFill>
    </fill>
    <fill>
      <patternFill patternType="gray0625"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158">
    <xf numFmtId="0" fontId="0" fillId="0" borderId="0" xfId="0"/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10" fontId="2" fillId="2" borderId="4" xfId="0" applyNumberFormat="1" applyFont="1" applyFill="1" applyBorder="1" applyProtection="1">
      <protection locked="0"/>
    </xf>
    <xf numFmtId="10" fontId="2" fillId="2" borderId="0" xfId="0" applyNumberFormat="1" applyFont="1" applyFill="1" applyBorder="1" applyProtection="1">
      <protection locked="0"/>
    </xf>
    <xf numFmtId="10" fontId="2" fillId="2" borderId="5" xfId="0" applyNumberFormat="1" applyFont="1" applyFill="1" applyBorder="1" applyProtection="1">
      <protection locked="0"/>
    </xf>
    <xf numFmtId="167" fontId="2" fillId="2" borderId="4" xfId="0" applyNumberFormat="1" applyFont="1" applyFill="1" applyBorder="1" applyProtection="1">
      <protection locked="0"/>
    </xf>
    <xf numFmtId="167" fontId="2" fillId="2" borderId="0" xfId="0" applyNumberFormat="1" applyFont="1" applyFill="1" applyBorder="1" applyProtection="1">
      <protection locked="0"/>
    </xf>
    <xf numFmtId="167" fontId="2" fillId="2" borderId="5" xfId="0" applyNumberFormat="1" applyFont="1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10" fontId="2" fillId="2" borderId="3" xfId="0" applyNumberFormat="1" applyFont="1" applyFill="1" applyBorder="1" applyProtection="1">
      <protection locked="0"/>
    </xf>
    <xf numFmtId="10" fontId="2" fillId="2" borderId="9" xfId="0" applyNumberFormat="1" applyFont="1" applyFill="1" applyBorder="1" applyProtection="1">
      <protection locked="0"/>
    </xf>
    <xf numFmtId="10" fontId="3" fillId="3" borderId="2" xfId="0" applyNumberFormat="1" applyFont="1" applyFill="1" applyBorder="1" applyProtection="1"/>
    <xf numFmtId="10" fontId="2" fillId="2" borderId="8" xfId="1" applyNumberFormat="1" applyFont="1" applyFill="1" applyBorder="1" applyProtection="1">
      <protection locked="0"/>
    </xf>
    <xf numFmtId="10" fontId="2" fillId="2" borderId="10" xfId="1" applyNumberFormat="1" applyFont="1" applyFill="1" applyBorder="1" applyProtection="1">
      <protection locked="0"/>
    </xf>
    <xf numFmtId="10" fontId="2" fillId="2" borderId="11" xfId="1" applyNumberFormat="1" applyFont="1" applyFill="1" applyBorder="1" applyProtection="1">
      <protection locked="0"/>
    </xf>
    <xf numFmtId="0" fontId="2" fillId="2" borderId="0" xfId="0" applyNumberFormat="1" applyFont="1" applyFill="1" applyBorder="1" applyProtection="1">
      <protection locked="0"/>
    </xf>
    <xf numFmtId="14" fontId="2" fillId="2" borderId="0" xfId="0" applyNumberFormat="1" applyFont="1" applyFill="1" applyBorder="1" applyProtection="1">
      <protection locked="0"/>
    </xf>
    <xf numFmtId="0" fontId="2" fillId="2" borderId="4" xfId="0" applyNumberFormat="1" applyFont="1" applyFill="1" applyBorder="1" applyProtection="1">
      <protection locked="0"/>
    </xf>
    <xf numFmtId="0" fontId="2" fillId="2" borderId="5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14" fontId="2" fillId="2" borderId="5" xfId="0" applyNumberFormat="1" applyFont="1" applyFill="1" applyBorder="1" applyProtection="1">
      <protection locked="0"/>
    </xf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right"/>
    </xf>
    <xf numFmtId="0" fontId="1" fillId="0" borderId="0" xfId="0" applyFont="1" applyProtection="1"/>
    <xf numFmtId="0" fontId="1" fillId="2" borderId="4" xfId="0" applyNumberFormat="1" applyFont="1" applyFill="1" applyBorder="1" applyProtection="1">
      <protection locked="0"/>
    </xf>
    <xf numFmtId="0" fontId="1" fillId="2" borderId="0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  <xf numFmtId="0" fontId="1" fillId="0" borderId="0" xfId="0" applyFont="1" applyAlignment="1" applyProtection="1">
      <alignment horizontal="center"/>
    </xf>
    <xf numFmtId="164" fontId="1" fillId="0" borderId="0" xfId="0" applyNumberFormat="1" applyFont="1" applyProtection="1"/>
    <xf numFmtId="164" fontId="1" fillId="0" borderId="0" xfId="0" applyNumberFormat="1" applyFont="1" applyAlignment="1" applyProtection="1">
      <alignment horizontal="center"/>
    </xf>
    <xf numFmtId="165" fontId="1" fillId="0" borderId="0" xfId="0" applyNumberFormat="1" applyFont="1" applyProtection="1"/>
    <xf numFmtId="0" fontId="1" fillId="0" borderId="1" xfId="0" applyFont="1" applyBorder="1" applyProtection="1"/>
    <xf numFmtId="0" fontId="1" fillId="0" borderId="7" xfId="0" applyFont="1" applyBorder="1" applyProtection="1"/>
    <xf numFmtId="0" fontId="1" fillId="0" borderId="2" xfId="0" applyFont="1" applyBorder="1" applyProtection="1"/>
    <xf numFmtId="0" fontId="1" fillId="2" borderId="4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67" fontId="1" fillId="0" borderId="1" xfId="0" applyNumberFormat="1" applyFont="1" applyBorder="1" applyProtection="1"/>
    <xf numFmtId="167" fontId="1" fillId="0" borderId="7" xfId="0" applyNumberFormat="1" applyFont="1" applyBorder="1" applyProtection="1"/>
    <xf numFmtId="167" fontId="1" fillId="0" borderId="2" xfId="0" applyNumberFormat="1" applyFont="1" applyBorder="1" applyProtection="1"/>
    <xf numFmtId="0" fontId="1" fillId="0" borderId="12" xfId="0" applyFont="1" applyBorder="1" applyAlignment="1" applyProtection="1">
      <alignment horizontal="right"/>
    </xf>
    <xf numFmtId="0" fontId="1" fillId="0" borderId="13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right"/>
    </xf>
    <xf numFmtId="10" fontId="1" fillId="0" borderId="15" xfId="0" applyNumberFormat="1" applyFont="1" applyBorder="1" applyProtection="1"/>
    <xf numFmtId="10" fontId="1" fillId="0" borderId="10" xfId="0" applyNumberFormat="1" applyFont="1" applyBorder="1" applyProtection="1"/>
    <xf numFmtId="10" fontId="1" fillId="0" borderId="3" xfId="0" applyNumberFormat="1" applyFont="1" applyBorder="1" applyProtection="1"/>
    <xf numFmtId="10" fontId="1" fillId="0" borderId="9" xfId="0" applyNumberFormat="1" applyFont="1" applyBorder="1" applyProtection="1"/>
    <xf numFmtId="10" fontId="1" fillId="0" borderId="4" xfId="0" applyNumberFormat="1" applyFont="1" applyBorder="1" applyProtection="1"/>
    <xf numFmtId="10" fontId="1" fillId="0" borderId="0" xfId="0" applyNumberFormat="1" applyFont="1" applyBorder="1" applyProtection="1"/>
    <xf numFmtId="10" fontId="1" fillId="0" borderId="5" xfId="0" applyNumberFormat="1" applyFont="1" applyBorder="1" applyProtection="1"/>
    <xf numFmtId="10" fontId="1" fillId="0" borderId="8" xfId="0" applyNumberFormat="1" applyFont="1" applyBorder="1" applyProtection="1"/>
    <xf numFmtId="10" fontId="1" fillId="0" borderId="11" xfId="0" applyNumberFormat="1" applyFont="1" applyBorder="1" applyProtection="1"/>
    <xf numFmtId="0" fontId="1" fillId="0" borderId="3" xfId="0" applyFont="1" applyBorder="1" applyAlignment="1" applyProtection="1">
      <alignment horizontal="right"/>
    </xf>
    <xf numFmtId="0" fontId="1" fillId="0" borderId="9" xfId="0" applyFont="1" applyBorder="1" applyAlignment="1" applyProtection="1">
      <alignment horizontal="right"/>
    </xf>
    <xf numFmtId="0" fontId="1" fillId="0" borderId="8" xfId="0" applyFont="1" applyBorder="1" applyAlignment="1" applyProtection="1">
      <alignment horizontal="right"/>
    </xf>
    <xf numFmtId="0" fontId="1" fillId="0" borderId="11" xfId="0" applyFont="1" applyBorder="1" applyAlignment="1" applyProtection="1">
      <alignment horizontal="right"/>
    </xf>
    <xf numFmtId="0" fontId="1" fillId="0" borderId="3" xfId="0" applyFont="1" applyBorder="1" applyProtection="1"/>
    <xf numFmtId="0" fontId="1" fillId="0" borderId="9" xfId="0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8" xfId="0" applyFont="1" applyBorder="1" applyProtection="1"/>
    <xf numFmtId="0" fontId="1" fillId="0" borderId="10" xfId="0" applyFont="1" applyBorder="1" applyProtection="1"/>
    <xf numFmtId="0" fontId="1" fillId="0" borderId="11" xfId="0" applyFont="1" applyBorder="1" applyProtection="1"/>
    <xf numFmtId="10" fontId="3" fillId="4" borderId="0" xfId="1" applyNumberFormat="1" applyFont="1" applyFill="1" applyBorder="1" applyProtection="1"/>
    <xf numFmtId="10" fontId="3" fillId="5" borderId="0" xfId="1" applyNumberFormat="1" applyFont="1" applyFill="1" applyBorder="1" applyProtection="1"/>
    <xf numFmtId="10" fontId="3" fillId="4" borderId="10" xfId="1" applyNumberFormat="1" applyFont="1" applyFill="1" applyBorder="1" applyProtection="1"/>
    <xf numFmtId="0" fontId="1" fillId="6" borderId="0" xfId="0" applyFont="1" applyFill="1" applyProtection="1"/>
    <xf numFmtId="0" fontId="1" fillId="6" borderId="0" xfId="0" applyFont="1" applyFill="1" applyProtection="1">
      <protection locked="0"/>
    </xf>
    <xf numFmtId="0" fontId="1" fillId="6" borderId="15" xfId="0" applyFont="1" applyFill="1" applyBorder="1" applyProtection="1">
      <protection locked="0"/>
    </xf>
    <xf numFmtId="0" fontId="1" fillId="6" borderId="9" xfId="0" applyFont="1" applyFill="1" applyBorder="1" applyProtection="1">
      <protection locked="0"/>
    </xf>
    <xf numFmtId="0" fontId="1" fillId="6" borderId="0" xfId="0" applyFont="1" applyFill="1" applyBorder="1" applyProtection="1">
      <protection locked="0"/>
    </xf>
    <xf numFmtId="0" fontId="1" fillId="6" borderId="5" xfId="0" applyFont="1" applyFill="1" applyBorder="1" applyProtection="1">
      <protection locked="0"/>
    </xf>
    <xf numFmtId="0" fontId="1" fillId="6" borderId="10" xfId="0" applyFont="1" applyFill="1" applyBorder="1" applyProtection="1">
      <protection locked="0"/>
    </xf>
    <xf numFmtId="0" fontId="1" fillId="6" borderId="11" xfId="0" applyFont="1" applyFill="1" applyBorder="1" applyProtection="1">
      <protection locked="0"/>
    </xf>
    <xf numFmtId="0" fontId="1" fillId="0" borderId="0" xfId="0" applyFont="1" applyAlignment="1" applyProtection="1">
      <alignment horizontal="right"/>
    </xf>
    <xf numFmtId="0" fontId="1" fillId="0" borderId="0" xfId="0" applyFont="1" applyFill="1" applyProtection="1"/>
    <xf numFmtId="0" fontId="6" fillId="2" borderId="3" xfId="0" applyNumberFormat="1" applyFont="1" applyFill="1" applyBorder="1" applyProtection="1">
      <protection locked="0"/>
    </xf>
    <xf numFmtId="0" fontId="6" fillId="2" borderId="15" xfId="0" applyNumberFormat="1" applyFont="1" applyFill="1" applyBorder="1" applyProtection="1">
      <protection locked="0"/>
    </xf>
    <xf numFmtId="0" fontId="6" fillId="2" borderId="9" xfId="0" applyNumberFormat="1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169" fontId="4" fillId="2" borderId="0" xfId="0" applyNumberFormat="1" applyFont="1" applyFill="1" applyProtection="1">
      <protection locked="0"/>
    </xf>
    <xf numFmtId="1" fontId="1" fillId="0" borderId="6" xfId="0" applyNumberFormat="1" applyFont="1" applyBorder="1"/>
    <xf numFmtId="170" fontId="2" fillId="2" borderId="4" xfId="0" applyNumberFormat="1" applyFont="1" applyFill="1" applyBorder="1" applyProtection="1">
      <protection locked="0"/>
    </xf>
    <xf numFmtId="170" fontId="2" fillId="2" borderId="0" xfId="0" applyNumberFormat="1" applyFont="1" applyFill="1" applyBorder="1" applyProtection="1">
      <protection locked="0"/>
    </xf>
    <xf numFmtId="170" fontId="2" fillId="2" borderId="5" xfId="0" applyNumberFormat="1" applyFont="1" applyFill="1" applyBorder="1" applyProtection="1">
      <protection locked="0"/>
    </xf>
    <xf numFmtId="170" fontId="3" fillId="3" borderId="1" xfId="0" applyNumberFormat="1" applyFont="1" applyFill="1" applyBorder="1" applyProtection="1"/>
    <xf numFmtId="170" fontId="3" fillId="3" borderId="2" xfId="0" applyNumberFormat="1" applyFont="1" applyFill="1" applyBorder="1" applyProtection="1"/>
    <xf numFmtId="170" fontId="1" fillId="0" borderId="1" xfId="0" applyNumberFormat="1" applyFont="1" applyBorder="1" applyProtection="1"/>
    <xf numFmtId="170" fontId="1" fillId="0" borderId="7" xfId="0" applyNumberFormat="1" applyFont="1" applyBorder="1" applyProtection="1"/>
    <xf numFmtId="170" fontId="1" fillId="0" borderId="2" xfId="0" applyNumberFormat="1" applyFont="1" applyBorder="1" applyProtection="1"/>
    <xf numFmtId="170" fontId="1" fillId="0" borderId="6" xfId="0" applyNumberFormat="1" applyFont="1" applyBorder="1" applyProtection="1"/>
    <xf numFmtId="170" fontId="3" fillId="3" borderId="7" xfId="0" applyNumberFormat="1" applyFont="1" applyFill="1" applyBorder="1" applyProtection="1"/>
    <xf numFmtId="171" fontId="2" fillId="2" borderId="1" xfId="0" applyNumberFormat="1" applyFont="1" applyFill="1" applyBorder="1" applyProtection="1">
      <protection locked="0"/>
    </xf>
    <xf numFmtId="170" fontId="1" fillId="0" borderId="3" xfId="0" applyNumberFormat="1" applyFont="1" applyBorder="1" applyProtection="1"/>
    <xf numFmtId="170" fontId="1" fillId="0" borderId="15" xfId="0" applyNumberFormat="1" applyFont="1" applyBorder="1" applyProtection="1"/>
    <xf numFmtId="170" fontId="1" fillId="0" borderId="9" xfId="0" applyNumberFormat="1" applyFont="1" applyBorder="1" applyProtection="1"/>
    <xf numFmtId="171" fontId="2" fillId="2" borderId="2" xfId="0" applyNumberFormat="1" applyFont="1" applyFill="1" applyBorder="1" applyProtection="1">
      <protection locked="0"/>
    </xf>
    <xf numFmtId="170" fontId="1" fillId="0" borderId="8" xfId="0" applyNumberFormat="1" applyFont="1" applyBorder="1" applyProtection="1"/>
    <xf numFmtId="170" fontId="1" fillId="0" borderId="10" xfId="0" applyNumberFormat="1" applyFont="1" applyBorder="1" applyProtection="1"/>
    <xf numFmtId="170" fontId="1" fillId="0" borderId="11" xfId="0" applyNumberFormat="1" applyFont="1" applyBorder="1" applyProtection="1"/>
    <xf numFmtId="171" fontId="5" fillId="0" borderId="12" xfId="0" applyNumberFormat="1" applyFont="1" applyBorder="1" applyProtection="1"/>
    <xf numFmtId="171" fontId="5" fillId="0" borderId="13" xfId="0" applyNumberFormat="1" applyFont="1" applyBorder="1" applyProtection="1"/>
    <xf numFmtId="171" fontId="5" fillId="7" borderId="13" xfId="0" applyNumberFormat="1" applyFont="1" applyFill="1" applyBorder="1" applyProtection="1"/>
    <xf numFmtId="171" fontId="5" fillId="0" borderId="14" xfId="0" applyNumberFormat="1" applyFont="1" applyBorder="1" applyProtection="1"/>
    <xf numFmtId="171" fontId="1" fillId="0" borderId="1" xfId="0" applyNumberFormat="1" applyFont="1" applyBorder="1" applyProtection="1"/>
    <xf numFmtId="170" fontId="3" fillId="4" borderId="0" xfId="0" applyNumberFormat="1" applyFont="1" applyFill="1" applyBorder="1" applyProtection="1"/>
    <xf numFmtId="171" fontId="1" fillId="0" borderId="7" xfId="0" applyNumberFormat="1" applyFont="1" applyBorder="1" applyProtection="1"/>
    <xf numFmtId="170" fontId="1" fillId="0" borderId="4" xfId="0" applyNumberFormat="1" applyFont="1" applyBorder="1" applyProtection="1"/>
    <xf numFmtId="170" fontId="1" fillId="0" borderId="0" xfId="0" applyNumberFormat="1" applyFont="1" applyBorder="1" applyProtection="1"/>
    <xf numFmtId="170" fontId="1" fillId="0" borderId="5" xfId="0" applyNumberFormat="1" applyFont="1" applyBorder="1" applyProtection="1"/>
    <xf numFmtId="171" fontId="3" fillId="4" borderId="7" xfId="0" applyNumberFormat="1" applyFont="1" applyFill="1" applyBorder="1" applyProtection="1"/>
    <xf numFmtId="170" fontId="3" fillId="5" borderId="0" xfId="0" applyNumberFormat="1" applyFont="1" applyFill="1" applyBorder="1" applyProtection="1"/>
    <xf numFmtId="170" fontId="3" fillId="4" borderId="5" xfId="0" applyNumberFormat="1" applyFont="1" applyFill="1" applyBorder="1" applyProtection="1"/>
    <xf numFmtId="170" fontId="3" fillId="4" borderId="4" xfId="0" applyNumberFormat="1" applyFont="1" applyFill="1" applyBorder="1" applyProtection="1"/>
    <xf numFmtId="171" fontId="1" fillId="0" borderId="2" xfId="0" applyNumberFormat="1" applyFont="1" applyBorder="1" applyProtection="1"/>
    <xf numFmtId="170" fontId="3" fillId="4" borderId="10" xfId="0" applyNumberFormat="1" applyFont="1" applyFill="1" applyBorder="1" applyProtection="1"/>
    <xf numFmtId="170" fontId="2" fillId="2" borderId="1" xfId="0" applyNumberFormat="1" applyFont="1" applyFill="1" applyBorder="1" applyAlignment="1" applyProtection="1">
      <alignment horizontal="right"/>
      <protection locked="0"/>
    </xf>
    <xf numFmtId="170" fontId="2" fillId="2" borderId="8" xfId="0" applyNumberFormat="1" applyFont="1" applyFill="1" applyBorder="1" applyProtection="1">
      <protection locked="0"/>
    </xf>
    <xf numFmtId="170" fontId="2" fillId="2" borderId="11" xfId="0" applyNumberFormat="1" applyFont="1" applyFill="1" applyBorder="1" applyProtection="1">
      <protection locked="0"/>
    </xf>
    <xf numFmtId="170" fontId="3" fillId="3" borderId="3" xfId="0" applyNumberFormat="1" applyFont="1" applyFill="1" applyBorder="1" applyProtection="1"/>
    <xf numFmtId="170" fontId="3" fillId="3" borderId="9" xfId="0" applyNumberFormat="1" applyFont="1" applyFill="1" applyBorder="1" applyProtection="1"/>
    <xf numFmtId="0" fontId="7" fillId="0" borderId="0" xfId="0" applyFont="1" applyAlignment="1"/>
    <xf numFmtId="173" fontId="1" fillId="0" borderId="0" xfId="0" applyNumberFormat="1" applyFont="1" applyProtection="1"/>
    <xf numFmtId="165" fontId="6" fillId="8" borderId="3" xfId="0" applyNumberFormat="1" applyFont="1" applyFill="1" applyBorder="1" applyProtection="1">
      <protection locked="0"/>
    </xf>
    <xf numFmtId="165" fontId="6" fillId="8" borderId="9" xfId="0" applyNumberFormat="1" applyFont="1" applyFill="1" applyBorder="1" applyProtection="1">
      <protection locked="0"/>
    </xf>
    <xf numFmtId="0" fontId="3" fillId="9" borderId="12" xfId="0" applyFont="1" applyFill="1" applyBorder="1" applyAlignment="1" applyProtection="1">
      <alignment horizontal="left" vertical="center"/>
    </xf>
    <xf numFmtId="0" fontId="3" fillId="9" borderId="14" xfId="0" applyFont="1" applyFill="1" applyBorder="1" applyAlignment="1" applyProtection="1">
      <alignment horizontal="left" vertical="center"/>
    </xf>
    <xf numFmtId="166" fontId="1" fillId="2" borderId="6" xfId="0" applyNumberFormat="1" applyFont="1" applyFill="1" applyBorder="1" applyAlignment="1" applyProtection="1">
      <alignment horizontal="center"/>
      <protection locked="0"/>
    </xf>
    <xf numFmtId="166" fontId="2" fillId="2" borderId="2" xfId="0" applyNumberFormat="1" applyFont="1" applyFill="1" applyBorder="1" applyAlignment="1" applyProtection="1">
      <alignment horizontal="center"/>
      <protection locked="0"/>
    </xf>
    <xf numFmtId="166" fontId="3" fillId="3" borderId="6" xfId="0" applyNumberFormat="1" applyFont="1" applyFill="1" applyBorder="1" applyAlignment="1" applyProtection="1">
      <alignment horizontal="center"/>
    </xf>
    <xf numFmtId="3" fontId="1" fillId="8" borderId="6" xfId="2" applyNumberFormat="1" applyFont="1" applyFill="1" applyBorder="1" applyAlignment="1">
      <alignment horizontal="center"/>
    </xf>
    <xf numFmtId="173" fontId="1" fillId="8" borderId="6" xfId="2" applyNumberFormat="1" applyFont="1" applyFill="1" applyBorder="1" applyAlignment="1">
      <alignment horizontal="center"/>
    </xf>
    <xf numFmtId="3" fontId="1" fillId="10" borderId="6" xfId="2" applyNumberFormat="1" applyFont="1" applyFill="1" applyBorder="1" applyAlignment="1">
      <alignment horizontal="center"/>
    </xf>
    <xf numFmtId="10" fontId="1" fillId="2" borderId="6" xfId="0" applyNumberFormat="1" applyFont="1" applyFill="1" applyBorder="1" applyAlignment="1" applyProtection="1">
      <alignment horizontal="center"/>
      <protection locked="0"/>
    </xf>
    <xf numFmtId="172" fontId="1" fillId="8" borderId="6" xfId="2" applyNumberFormat="1" applyFont="1" applyFill="1" applyBorder="1" applyAlignment="1">
      <alignment horizontal="center"/>
    </xf>
    <xf numFmtId="170" fontId="3" fillId="3" borderId="6" xfId="0" applyNumberFormat="1" applyFont="1" applyFill="1" applyBorder="1" applyProtection="1"/>
    <xf numFmtId="0" fontId="8" fillId="2" borderId="6" xfId="0" applyFont="1" applyFill="1" applyBorder="1" applyProtection="1">
      <protection locked="0"/>
    </xf>
    <xf numFmtId="168" fontId="8" fillId="2" borderId="1" xfId="0" applyNumberFormat="1" applyFont="1" applyFill="1" applyBorder="1" applyProtection="1">
      <protection locked="0"/>
    </xf>
    <xf numFmtId="168" fontId="8" fillId="2" borderId="7" xfId="0" applyNumberFormat="1" applyFont="1" applyFill="1" applyBorder="1" applyProtection="1">
      <protection locked="0"/>
    </xf>
    <xf numFmtId="168" fontId="8" fillId="2" borderId="2" xfId="0" applyNumberFormat="1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2" xfId="0" applyFont="1" applyFill="1" applyBorder="1" applyProtection="1">
      <protection locked="0"/>
    </xf>
    <xf numFmtId="170" fontId="8" fillId="2" borderId="1" xfId="0" applyNumberFormat="1" applyFont="1" applyFill="1" applyBorder="1" applyProtection="1">
      <protection locked="0"/>
    </xf>
    <xf numFmtId="170" fontId="8" fillId="2" borderId="7" xfId="0" applyNumberFormat="1" applyFont="1" applyFill="1" applyBorder="1" applyProtection="1">
      <protection locked="0"/>
    </xf>
    <xf numFmtId="170" fontId="8" fillId="2" borderId="2" xfId="0" applyNumberFormat="1" applyFont="1" applyFill="1" applyBorder="1" applyProtection="1">
      <protection locked="0"/>
    </xf>
    <xf numFmtId="10" fontId="8" fillId="2" borderId="6" xfId="0" applyNumberFormat="1" applyFont="1" applyFill="1" applyBorder="1" applyProtection="1">
      <protection locked="0"/>
    </xf>
    <xf numFmtId="10" fontId="8" fillId="2" borderId="1" xfId="0" applyNumberFormat="1" applyFont="1" applyFill="1" applyBorder="1" applyProtection="1">
      <protection locked="0"/>
    </xf>
    <xf numFmtId="10" fontId="8" fillId="2" borderId="7" xfId="0" applyNumberFormat="1" applyFont="1" applyFill="1" applyBorder="1" applyProtection="1">
      <protection locked="0"/>
    </xf>
    <xf numFmtId="10" fontId="8" fillId="2" borderId="2" xfId="0" applyNumberFormat="1" applyFont="1" applyFill="1" applyBorder="1" applyProtection="1">
      <protection locked="0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/>
  <dimension ref="B1:AN113"/>
  <sheetViews>
    <sheetView showGridLines="0" tabSelected="1" zoomScale="85" workbookViewId="0">
      <selection activeCell="C6" sqref="C6"/>
    </sheetView>
  </sheetViews>
  <sheetFormatPr defaultColWidth="9.58203125" defaultRowHeight="12.5" x14ac:dyDescent="0.25"/>
  <cols>
    <col min="1" max="1" width="1.58203125" style="32" customWidth="1"/>
    <col min="2" max="2" width="39.83203125" style="32" customWidth="1"/>
    <col min="3" max="3" width="12" style="32" customWidth="1"/>
    <col min="4" max="6" width="9.58203125" style="32" customWidth="1"/>
    <col min="7" max="7" width="11" style="32" customWidth="1"/>
    <col min="8" max="8" width="13.08203125" style="32" customWidth="1"/>
    <col min="9" max="9" width="14.58203125" style="32" customWidth="1"/>
    <col min="10" max="10" width="15.08203125" style="32" customWidth="1"/>
    <col min="11" max="11" width="13.33203125" style="32" customWidth="1"/>
    <col min="12" max="12" width="10.75" style="32" customWidth="1"/>
    <col min="13" max="13" width="10.08203125" style="32" customWidth="1"/>
    <col min="14" max="14" width="11.83203125" style="32" customWidth="1"/>
    <col min="15" max="15" width="9.58203125" style="32"/>
    <col min="16" max="16" width="28.33203125" style="32" customWidth="1"/>
    <col min="17" max="17" width="10.58203125" style="32" customWidth="1"/>
    <col min="18" max="20" width="9.58203125" style="32"/>
    <col min="21" max="21" width="10.58203125" style="32" customWidth="1"/>
    <col min="22" max="16384" width="9.58203125" style="32"/>
  </cols>
  <sheetData>
    <row r="1" spans="2:40" ht="13" x14ac:dyDescent="0.3">
      <c r="B1" s="28" t="s">
        <v>134</v>
      </c>
      <c r="G1" s="83" t="s">
        <v>125</v>
      </c>
      <c r="H1" s="88" t="s">
        <v>159</v>
      </c>
      <c r="I1" s="75"/>
      <c r="J1" s="76"/>
      <c r="K1" s="76"/>
      <c r="L1" s="76"/>
      <c r="M1" s="76"/>
      <c r="N1" s="75"/>
      <c r="O1" s="84"/>
    </row>
    <row r="2" spans="2:40" ht="13" x14ac:dyDescent="0.3">
      <c r="G2" s="83" t="s">
        <v>126</v>
      </c>
      <c r="H2" s="89">
        <v>43160</v>
      </c>
      <c r="I2" s="75"/>
      <c r="J2" s="76"/>
      <c r="K2" s="76"/>
      <c r="L2" s="76"/>
      <c r="M2" s="76"/>
      <c r="N2" s="75"/>
      <c r="O2" s="84"/>
    </row>
    <row r="3" spans="2:40" ht="13" x14ac:dyDescent="0.3">
      <c r="B3" s="29" t="s">
        <v>128</v>
      </c>
      <c r="G3" s="83" t="s">
        <v>127</v>
      </c>
    </row>
    <row r="5" spans="2:40" ht="13" x14ac:dyDescent="0.3">
      <c r="B5" s="29" t="s">
        <v>0</v>
      </c>
      <c r="C5" s="29"/>
      <c r="D5" s="29"/>
      <c r="I5" s="32" t="s">
        <v>103</v>
      </c>
      <c r="M5" s="1">
        <v>455</v>
      </c>
    </row>
    <row r="6" spans="2:40" ht="13" x14ac:dyDescent="0.3">
      <c r="B6" s="29" t="s">
        <v>1</v>
      </c>
      <c r="C6" s="29"/>
      <c r="D6" s="29"/>
      <c r="I6" s="32" t="s">
        <v>104</v>
      </c>
      <c r="M6" s="2">
        <v>0.35</v>
      </c>
    </row>
    <row r="7" spans="2:40" ht="13" x14ac:dyDescent="0.3">
      <c r="B7" s="29" t="s">
        <v>2</v>
      </c>
      <c r="C7" s="29"/>
      <c r="D7" s="29"/>
    </row>
    <row r="8" spans="2:40" ht="13" x14ac:dyDescent="0.3">
      <c r="B8" s="29" t="s">
        <v>3</v>
      </c>
      <c r="C8" s="29"/>
      <c r="D8" s="29"/>
      <c r="AF8" s="32" t="s">
        <v>4</v>
      </c>
    </row>
    <row r="9" spans="2:40" ht="13" x14ac:dyDescent="0.3">
      <c r="I9" s="30" t="s">
        <v>98</v>
      </c>
      <c r="AF9" s="32" t="s">
        <v>5</v>
      </c>
    </row>
    <row r="10" spans="2:40" ht="13" x14ac:dyDescent="0.25">
      <c r="I10" s="85" t="s">
        <v>158</v>
      </c>
      <c r="J10" s="86" t="s">
        <v>158</v>
      </c>
      <c r="K10" s="86" t="s">
        <v>158</v>
      </c>
      <c r="L10" s="86" t="str">
        <f>""</f>
        <v/>
      </c>
      <c r="M10" s="86" t="str">
        <f>""</f>
        <v/>
      </c>
      <c r="N10" s="87" t="str">
        <f>""</f>
        <v/>
      </c>
      <c r="P10" s="134" t="s">
        <v>135</v>
      </c>
      <c r="Q10" s="135"/>
      <c r="AF10" s="32" t="s">
        <v>6</v>
      </c>
    </row>
    <row r="11" spans="2:40" ht="15.5" x14ac:dyDescent="0.35">
      <c r="B11" s="32" t="s">
        <v>7</v>
      </c>
      <c r="C11" s="145" t="s">
        <v>162</v>
      </c>
      <c r="D11" s="32" t="str">
        <f>IF(OR(AC14&gt;AC15,AC14&gt;AC16),"Warning: Cows or calves cannot be sold before calving date.",IF(AC13-AC14&gt;150,"Warning: Start date cannot be more than 150 days after calving.",""))</f>
        <v/>
      </c>
      <c r="I11" s="24" t="s">
        <v>160</v>
      </c>
      <c r="J11" s="22" t="s">
        <v>161</v>
      </c>
      <c r="K11" s="22" t="s">
        <v>162</v>
      </c>
      <c r="L11" s="22"/>
      <c r="M11" s="22"/>
      <c r="N11" s="25"/>
      <c r="P11" s="130"/>
      <c r="Q11" s="130"/>
      <c r="AF11" s="32" t="s">
        <v>8</v>
      </c>
    </row>
    <row r="12" spans="2:40" x14ac:dyDescent="0.25">
      <c r="I12" s="33"/>
      <c r="J12" s="34"/>
      <c r="K12" s="34"/>
      <c r="L12" s="34"/>
      <c r="M12" s="34"/>
      <c r="N12" s="35"/>
      <c r="P12" s="32" t="s">
        <v>136</v>
      </c>
      <c r="R12" s="139">
        <f>C18</f>
        <v>450</v>
      </c>
      <c r="AC12" s="32" t="s">
        <v>9</v>
      </c>
      <c r="AF12" s="36" t="s">
        <v>111</v>
      </c>
      <c r="AG12" s="36"/>
      <c r="AH12" s="36" t="s">
        <v>10</v>
      </c>
      <c r="AI12" s="36" t="s">
        <v>11</v>
      </c>
      <c r="AJ12" s="36" t="s">
        <v>12</v>
      </c>
      <c r="AM12" s="32" t="s">
        <v>13</v>
      </c>
      <c r="AN12" s="37" t="s">
        <v>14</v>
      </c>
    </row>
    <row r="13" spans="2:40" x14ac:dyDescent="0.25">
      <c r="B13" s="32" t="s">
        <v>15</v>
      </c>
      <c r="C13" s="146">
        <v>43586</v>
      </c>
      <c r="D13" s="32" t="str">
        <f>IF(ISERR(AC13),"Warning: Incorrect form of date entry. See note below.","")</f>
        <v/>
      </c>
      <c r="I13" s="26">
        <v>43586</v>
      </c>
      <c r="J13" s="23">
        <v>43586</v>
      </c>
      <c r="K13" s="23">
        <v>43586</v>
      </c>
      <c r="L13" s="23"/>
      <c r="M13" s="23"/>
      <c r="N13" s="27"/>
      <c r="P13" s="32" t="s">
        <v>137</v>
      </c>
      <c r="R13" s="142">
        <v>0.05</v>
      </c>
      <c r="AC13" s="32">
        <f>DATEVALUE(TEXT(C13,"dd-mmm-yyyy"))</f>
        <v>43586</v>
      </c>
      <c r="AF13" s="36">
        <v>3</v>
      </c>
      <c r="AG13" s="36" t="s">
        <v>16</v>
      </c>
      <c r="AH13" s="36">
        <v>100.5128205</v>
      </c>
      <c r="AI13" s="36">
        <f t="shared" ref="AI13:AI24" si="0">((1+$M$6)/$AH$26*100)*AH13</f>
        <v>102.73511647681366</v>
      </c>
      <c r="AJ13" s="38">
        <f t="shared" ref="AJ13:AJ24" si="1">(AI13-100)/100</f>
        <v>2.7351164768136583E-2</v>
      </c>
      <c r="AM13" s="39">
        <f>IF($AF$30-$AG$30&lt;180,0,IF($AF$30-$AG$30&gt;210,30,$AF$30-$AG$30-180))</f>
        <v>18</v>
      </c>
      <c r="AN13" s="37">
        <f t="shared" ref="AN13:AN24" si="2">AM13/30*AJ13</f>
        <v>1.641069886088195E-2</v>
      </c>
    </row>
    <row r="14" spans="2:40" x14ac:dyDescent="0.25">
      <c r="B14" s="32" t="s">
        <v>17</v>
      </c>
      <c r="C14" s="147">
        <v>43784</v>
      </c>
      <c r="D14" s="32" t="str">
        <f>IF(ISERR(AC14),"Warning: Incorrect form of date entry. See note below.","")</f>
        <v/>
      </c>
      <c r="I14" s="26">
        <v>43784</v>
      </c>
      <c r="J14" s="23">
        <v>43784</v>
      </c>
      <c r="K14" s="23">
        <v>43784</v>
      </c>
      <c r="L14" s="23"/>
      <c r="M14" s="23"/>
      <c r="N14" s="27"/>
      <c r="P14" s="32" t="s">
        <v>138</v>
      </c>
      <c r="R14" s="139">
        <f t="shared" ref="R14" si="3">R12*(1-R13)</f>
        <v>427.5</v>
      </c>
      <c r="AC14" s="32">
        <f>DATEVALUE(TEXT(C14,"dd-mmm-yyyy"))</f>
        <v>43784</v>
      </c>
      <c r="AF14" s="36">
        <v>4</v>
      </c>
      <c r="AG14" s="36" t="s">
        <v>18</v>
      </c>
      <c r="AH14" s="36">
        <v>101.02564099999999</v>
      </c>
      <c r="AI14" s="36">
        <f t="shared" si="0"/>
        <v>103.25927522131131</v>
      </c>
      <c r="AJ14" s="38">
        <f t="shared" si="1"/>
        <v>3.2592752213113127E-2</v>
      </c>
      <c r="AM14" s="39">
        <f>IF($AF$30-$AG$30&lt;150,0,IF($AF$30-$AG$30&gt;180,30,$AF$30-$AG$30-150))</f>
        <v>30</v>
      </c>
      <c r="AN14" s="37">
        <f t="shared" si="2"/>
        <v>3.2592752213113127E-2</v>
      </c>
    </row>
    <row r="15" spans="2:40" x14ac:dyDescent="0.25">
      <c r="B15" s="32" t="s">
        <v>19</v>
      </c>
      <c r="C15" s="147">
        <v>43951</v>
      </c>
      <c r="D15" s="32" t="str">
        <f>IF(ISERR(AC15),"Warning: Incorrect form of date entry. See note below.","")</f>
        <v/>
      </c>
      <c r="I15" s="26">
        <v>43951</v>
      </c>
      <c r="J15" s="23">
        <v>43951</v>
      </c>
      <c r="K15" s="23">
        <v>43951</v>
      </c>
      <c r="L15" s="23"/>
      <c r="M15" s="23"/>
      <c r="N15" s="27"/>
      <c r="P15" s="32" t="s">
        <v>139</v>
      </c>
      <c r="R15" s="136">
        <v>2</v>
      </c>
      <c r="AC15" s="32">
        <f>DATEVALUE(TEXT(C15,"dd-mmm-yyyy"))</f>
        <v>43951</v>
      </c>
      <c r="AF15" s="36">
        <v>5</v>
      </c>
      <c r="AG15" s="36" t="s">
        <v>20</v>
      </c>
      <c r="AH15" s="36">
        <v>102.05128209999999</v>
      </c>
      <c r="AI15" s="36">
        <f t="shared" si="0"/>
        <v>104.30759281251757</v>
      </c>
      <c r="AJ15" s="38">
        <f t="shared" si="1"/>
        <v>4.3075928125175696E-2</v>
      </c>
      <c r="AM15" s="39">
        <f>IF($AF$30-$AG$30&lt;120,0,IF($AF$30-$AG$30&gt;150,30,$AF$30-$AG$30-120))</f>
        <v>30</v>
      </c>
      <c r="AN15" s="37">
        <f t="shared" si="2"/>
        <v>4.3075928125175696E-2</v>
      </c>
    </row>
    <row r="16" spans="2:40" x14ac:dyDescent="0.25">
      <c r="B16" s="32" t="s">
        <v>21</v>
      </c>
      <c r="C16" s="148">
        <v>43951</v>
      </c>
      <c r="D16" s="32" t="str">
        <f>IF(ISERR(AC16),"Warning: Incorrect form of date entry. See note below.","")</f>
        <v/>
      </c>
      <c r="I16" s="26">
        <v>43951</v>
      </c>
      <c r="J16" s="23">
        <v>43951</v>
      </c>
      <c r="K16" s="23">
        <v>43951</v>
      </c>
      <c r="L16" s="23"/>
      <c r="M16" s="23"/>
      <c r="N16" s="27"/>
      <c r="P16" s="32" t="s">
        <v>140</v>
      </c>
      <c r="R16" s="143">
        <f t="shared" ref="R16" si="4">R15*R14</f>
        <v>855</v>
      </c>
      <c r="AC16" s="32">
        <f>DATEVALUE(TEXT(C16,"dd-mmm-yyyy"))</f>
        <v>43951</v>
      </c>
      <c r="AF16" s="36">
        <v>6</v>
      </c>
      <c r="AG16" s="36" t="s">
        <v>22</v>
      </c>
      <c r="AH16" s="36">
        <v>104.1025641</v>
      </c>
      <c r="AI16" s="36">
        <f t="shared" si="0"/>
        <v>106.40422779050817</v>
      </c>
      <c r="AJ16" s="38">
        <f t="shared" si="1"/>
        <v>6.4042277905081726E-2</v>
      </c>
      <c r="AM16" s="39">
        <f>IF($AF$30-$AG$30&lt;90,0,IF($AF$30-$AG$30&gt;120,30,$AF$30-$AG$30-90))</f>
        <v>30</v>
      </c>
      <c r="AN16" s="37">
        <f t="shared" si="2"/>
        <v>6.4042277905081726E-2</v>
      </c>
    </row>
    <row r="17" spans="2:40" ht="13" x14ac:dyDescent="0.3">
      <c r="B17" s="29" t="s">
        <v>129</v>
      </c>
      <c r="I17" s="33"/>
      <c r="J17" s="34"/>
      <c r="K17" s="34"/>
      <c r="L17" s="34"/>
      <c r="M17" s="34"/>
      <c r="N17" s="35"/>
      <c r="P17" s="32" t="s">
        <v>141</v>
      </c>
      <c r="R17" s="142">
        <v>3.5000000000000003E-2</v>
      </c>
      <c r="AF17" s="36">
        <v>7</v>
      </c>
      <c r="AG17" s="36" t="s">
        <v>23</v>
      </c>
      <c r="AH17" s="36">
        <v>108.71794869999999</v>
      </c>
      <c r="AI17" s="36">
        <f t="shared" si="0"/>
        <v>111.121656593198</v>
      </c>
      <c r="AJ17" s="38">
        <f t="shared" si="1"/>
        <v>0.11121656593197997</v>
      </c>
      <c r="AM17" s="39">
        <f>IF($AF$30-$AG$30&lt;60,0,IF($AF$30-$AG$30&gt;90,30,$AF$30-$AG$30-60))</f>
        <v>30</v>
      </c>
      <c r="AN17" s="37">
        <f t="shared" si="2"/>
        <v>0.11121656593197997</v>
      </c>
    </row>
    <row r="18" spans="2:40" x14ac:dyDescent="0.25">
      <c r="B18" s="32" t="s">
        <v>24</v>
      </c>
      <c r="C18" s="149">
        <v>450</v>
      </c>
      <c r="I18" s="24">
        <v>450</v>
      </c>
      <c r="J18" s="22">
        <v>450</v>
      </c>
      <c r="K18" s="22">
        <v>450</v>
      </c>
      <c r="L18" s="22"/>
      <c r="M18" s="22"/>
      <c r="N18" s="25"/>
      <c r="P18" s="32" t="s">
        <v>142</v>
      </c>
      <c r="R18" s="140">
        <f t="shared" ref="R18" si="5">R17*R16</f>
        <v>29.925000000000004</v>
      </c>
      <c r="AF18" s="36">
        <v>8</v>
      </c>
      <c r="AG18" s="36" t="s">
        <v>25</v>
      </c>
      <c r="AH18" s="36">
        <v>118.1196581</v>
      </c>
      <c r="AI18" s="36">
        <f t="shared" si="0"/>
        <v>120.73123381414717</v>
      </c>
      <c r="AJ18" s="38">
        <f t="shared" si="1"/>
        <v>0.20731233814147174</v>
      </c>
      <c r="AM18" s="39">
        <f>IF($AF$30-$AG$30&lt;30,0,IF($AF$30-$AG$30&gt;60,30,$AF$30-$AG$30-30))</f>
        <v>30</v>
      </c>
      <c r="AN18" s="37">
        <f t="shared" si="2"/>
        <v>0.20731233814147174</v>
      </c>
    </row>
    <row r="19" spans="2:40" x14ac:dyDescent="0.25">
      <c r="B19" s="32" t="s">
        <v>26</v>
      </c>
      <c r="C19" s="150">
        <v>450</v>
      </c>
      <c r="I19" s="24">
        <v>450</v>
      </c>
      <c r="J19" s="22">
        <v>450</v>
      </c>
      <c r="K19" s="22">
        <v>450</v>
      </c>
      <c r="L19" s="22"/>
      <c r="M19" s="22"/>
      <c r="N19" s="25"/>
      <c r="P19" s="32" t="s">
        <v>94</v>
      </c>
      <c r="R19" s="136">
        <v>15</v>
      </c>
      <c r="AF19" s="36">
        <v>9</v>
      </c>
      <c r="AG19" s="36" t="s">
        <v>27</v>
      </c>
      <c r="AH19" s="36">
        <v>136.5811966</v>
      </c>
      <c r="AI19" s="36">
        <f t="shared" si="0"/>
        <v>139.60094912711742</v>
      </c>
      <c r="AJ19" s="38">
        <f t="shared" si="1"/>
        <v>0.39600949127117419</v>
      </c>
      <c r="AM19" s="39">
        <f>IF($AF$30-$AG$30&lt;0,0,IF($AF$30-$AG$30&gt;30,30,$AF$30-$AG$30))</f>
        <v>30</v>
      </c>
      <c r="AN19" s="37">
        <f t="shared" si="2"/>
        <v>0.39600949127117419</v>
      </c>
    </row>
    <row r="20" spans="2:40" x14ac:dyDescent="0.25">
      <c r="I20" s="33"/>
      <c r="J20" s="34"/>
      <c r="K20" s="34"/>
      <c r="L20" s="34"/>
      <c r="M20" s="34"/>
      <c r="N20" s="35"/>
      <c r="P20" s="32" t="s">
        <v>143</v>
      </c>
      <c r="R20" s="136">
        <v>18.75</v>
      </c>
      <c r="AF20" s="36">
        <v>10</v>
      </c>
      <c r="AG20" s="36" t="s">
        <v>28</v>
      </c>
      <c r="AH20" s="36">
        <v>150.9401709</v>
      </c>
      <c r="AI20" s="36">
        <f t="shared" si="0"/>
        <v>154.27739427968456</v>
      </c>
      <c r="AJ20" s="38">
        <f t="shared" si="1"/>
        <v>0.54277394279684554</v>
      </c>
      <c r="AK20" s="39"/>
      <c r="AM20" s="39">
        <f>IF($AG$30-$AF$30&gt;30,0,IF($AG$30-$AF$30&lt;0,30,$AF$30+30-$AG$30))+IF(AND($AH$30-$AF$30&lt;30,$AH$30-$AF$30&gt;-1),$AH$30-$AF$30-30,0)-IF($AH$30-$AF$30&lt;0,30,0)</f>
        <v>30</v>
      </c>
      <c r="AN20" s="37">
        <f t="shared" si="2"/>
        <v>0.54277394279684554</v>
      </c>
    </row>
    <row r="21" spans="2:40" ht="13" x14ac:dyDescent="0.3">
      <c r="B21" s="32" t="s">
        <v>29</v>
      </c>
      <c r="C21" s="149">
        <v>150</v>
      </c>
      <c r="I21" s="24">
        <v>150</v>
      </c>
      <c r="J21" s="22">
        <v>150</v>
      </c>
      <c r="K21" s="22">
        <v>150</v>
      </c>
      <c r="L21" s="22"/>
      <c r="M21" s="22"/>
      <c r="N21" s="25"/>
      <c r="P21" s="32" t="s">
        <v>144</v>
      </c>
      <c r="R21" s="144">
        <f t="shared" ref="R21" si="6">R16-R18-R19-R20</f>
        <v>791.32500000000005</v>
      </c>
      <c r="AF21" s="36">
        <v>11</v>
      </c>
      <c r="AG21" s="36" t="s">
        <v>30</v>
      </c>
      <c r="AH21" s="36">
        <v>160.5128205</v>
      </c>
      <c r="AI21" s="36">
        <f t="shared" si="0"/>
        <v>164.06169111620326</v>
      </c>
      <c r="AJ21" s="38">
        <f t="shared" si="1"/>
        <v>0.64061691116203268</v>
      </c>
      <c r="AK21" s="39"/>
      <c r="AM21" s="39">
        <f>IF($AG$30-$AF$30&gt;60,0,IF($AG$30-$AF$30&lt;30,30,$AF$30+60-$AG$30))+IF(AND($AH$30-$AF$30&lt;60,$AH$30-$AF$30&gt;29),$AH$30-$AF$30-60,0)-IF($AH$30-$AF$30&lt;30,30,0)</f>
        <v>30</v>
      </c>
      <c r="AN21" s="37">
        <f t="shared" si="2"/>
        <v>0.64061691116203268</v>
      </c>
    </row>
    <row r="22" spans="2:40" x14ac:dyDescent="0.25">
      <c r="B22" s="32" t="s">
        <v>31</v>
      </c>
      <c r="C22" s="150">
        <v>170</v>
      </c>
      <c r="I22" s="24">
        <v>170</v>
      </c>
      <c r="J22" s="22">
        <v>170</v>
      </c>
      <c r="K22" s="22">
        <v>170</v>
      </c>
      <c r="L22" s="22"/>
      <c r="M22" s="22"/>
      <c r="N22" s="25"/>
      <c r="P22" s="32" t="s">
        <v>145</v>
      </c>
      <c r="R22" s="139">
        <f t="shared" ref="R22" si="7">R12</f>
        <v>450</v>
      </c>
      <c r="AF22" s="36">
        <v>12</v>
      </c>
      <c r="AG22" s="36" t="s">
        <v>32</v>
      </c>
      <c r="AH22" s="36">
        <v>164.1025641</v>
      </c>
      <c r="AI22" s="36">
        <f t="shared" si="0"/>
        <v>167.73080242989778</v>
      </c>
      <c r="AJ22" s="38">
        <f t="shared" si="1"/>
        <v>0.67730802429897774</v>
      </c>
      <c r="AK22" s="39"/>
      <c r="AM22" s="39">
        <f>IF($AG$30-$AF$30&gt;90,0,IF($AG$30-$AF$30&lt;60,30,$AF$30+90-$AG$30))+IF(AND($AH$30-$AF$30&lt;90,$AH$30-$AF$30&gt;59),$AH$30-$AF$30-90,0)-IF($AH$30-$AF$30&lt;60,30,0)</f>
        <v>30</v>
      </c>
      <c r="AN22" s="37">
        <f t="shared" si="2"/>
        <v>0.67730802429897774</v>
      </c>
    </row>
    <row r="23" spans="2:40" x14ac:dyDescent="0.25">
      <c r="B23" s="32" t="s">
        <v>33</v>
      </c>
      <c r="C23" s="90">
        <v>167</v>
      </c>
      <c r="I23" s="24">
        <v>167</v>
      </c>
      <c r="J23" s="22">
        <v>167</v>
      </c>
      <c r="K23" s="22">
        <v>167</v>
      </c>
      <c r="L23" s="22"/>
      <c r="M23" s="22"/>
      <c r="N23" s="25"/>
      <c r="P23" s="32" t="s">
        <v>146</v>
      </c>
      <c r="R23" s="140">
        <f t="shared" ref="R23" si="8">IF(R14&gt;0,(R18+R19+R20)/R14,0)</f>
        <v>0.14894736842105263</v>
      </c>
      <c r="AF23" s="36">
        <v>13</v>
      </c>
      <c r="AG23" s="36" t="s">
        <v>34</v>
      </c>
      <c r="AH23" s="36">
        <v>165.64102560000001</v>
      </c>
      <c r="AI23" s="36">
        <f t="shared" si="0"/>
        <v>169.30327866339076</v>
      </c>
      <c r="AJ23" s="38">
        <f t="shared" si="1"/>
        <v>0.69303278663390755</v>
      </c>
      <c r="AK23" s="39"/>
      <c r="AL23" s="39"/>
      <c r="AM23" s="39">
        <f>IF($AG$30-$AF$30&gt;120,0,IF($AG$30-$AF$30&lt;90,30,$AF$30+120-$AG$30))+IF(AND($AH$30-$AF$30&lt;120,$AH$30-$AF$30&gt;89),$AH$30-$AF$30-120,0)-IF($AH$30-$AF$30&lt;90,30,0)</f>
        <v>30</v>
      </c>
      <c r="AN23" s="37">
        <f t="shared" si="2"/>
        <v>0.69303278663390755</v>
      </c>
    </row>
    <row r="24" spans="2:40" ht="13" x14ac:dyDescent="0.3">
      <c r="B24" s="29" t="s">
        <v>130</v>
      </c>
      <c r="I24" s="33"/>
      <c r="J24" s="34"/>
      <c r="K24" s="34"/>
      <c r="L24" s="34"/>
      <c r="M24" s="34"/>
      <c r="N24" s="35"/>
      <c r="P24" s="32" t="s">
        <v>147</v>
      </c>
      <c r="R24" s="140">
        <f t="shared" ref="R24" si="9">IF(R22&gt;0,R21/R22,0)</f>
        <v>1.7585000000000002</v>
      </c>
      <c r="AF24" s="36">
        <v>14</v>
      </c>
      <c r="AG24" s="36" t="s">
        <v>35</v>
      </c>
      <c r="AH24" s="36">
        <v>172.6495726</v>
      </c>
      <c r="AI24" s="36">
        <f t="shared" si="0"/>
        <v>176.46678167521026</v>
      </c>
      <c r="AJ24" s="38">
        <f t="shared" si="1"/>
        <v>0.7646678167521026</v>
      </c>
      <c r="AK24" s="39"/>
      <c r="AM24" s="39">
        <f>IF($AG$30-$AF$30&gt;150,0,IF($AG$30-$AF$30&lt;120,30,$AF$30+150-$AG$30))+IF(AND($AH$30-$AF$30&lt;150,$AH$30-$AF$30&gt;119),$AH$30-$AF$30-150,0)-IF($AH$30-$AF$30&lt;120,30,0)</f>
        <v>30</v>
      </c>
      <c r="AN24" s="37">
        <f t="shared" si="2"/>
        <v>0.7646678167521026</v>
      </c>
    </row>
    <row r="25" spans="2:40" x14ac:dyDescent="0.25">
      <c r="B25" s="32" t="s">
        <v>99</v>
      </c>
      <c r="C25" s="151">
        <v>791.33</v>
      </c>
      <c r="I25" s="91">
        <v>791.33</v>
      </c>
      <c r="J25" s="92">
        <v>791.33</v>
      </c>
      <c r="K25" s="92">
        <v>791.33</v>
      </c>
      <c r="L25" s="92"/>
      <c r="M25" s="92"/>
      <c r="N25" s="93"/>
      <c r="AF25" s="36"/>
      <c r="AG25" s="36"/>
      <c r="AH25" s="36"/>
      <c r="AI25" s="36"/>
      <c r="AJ25" s="36"/>
      <c r="AN25" s="37"/>
    </row>
    <row r="26" spans="2:40" ht="13" x14ac:dyDescent="0.25">
      <c r="B26" s="32" t="s">
        <v>100</v>
      </c>
      <c r="C26" s="152">
        <v>852.2</v>
      </c>
      <c r="I26" s="91">
        <v>852.2</v>
      </c>
      <c r="J26" s="92">
        <v>852.2</v>
      </c>
      <c r="K26" s="92">
        <v>852.2</v>
      </c>
      <c r="L26" s="92"/>
      <c r="M26" s="92"/>
      <c r="N26" s="93"/>
      <c r="P26" s="134" t="s">
        <v>148</v>
      </c>
      <c r="Q26" s="135"/>
      <c r="AF26" s="36" t="s">
        <v>36</v>
      </c>
      <c r="AG26" s="36"/>
      <c r="AH26" s="36">
        <f>AVERAGEA(AH13:AH24)</f>
        <v>132.07977206666666</v>
      </c>
      <c r="AI26" s="38">
        <f>AVERAGEA(AI13:AI24)</f>
        <v>135</v>
      </c>
      <c r="AJ26" s="38">
        <f>AVERAGEA(AJ13:AJ24)</f>
        <v>0.34999999999999992</v>
      </c>
      <c r="AN26" s="37">
        <f>AVERAGEA(AN13:AN24)</f>
        <v>0.34908829450772866</v>
      </c>
    </row>
    <row r="27" spans="2:40" x14ac:dyDescent="0.25">
      <c r="B27" s="32" t="s">
        <v>101</v>
      </c>
      <c r="C27" s="153">
        <v>383.58</v>
      </c>
      <c r="I27" s="91">
        <v>383.58</v>
      </c>
      <c r="J27" s="92">
        <v>383.58</v>
      </c>
      <c r="K27" s="92">
        <v>383.58</v>
      </c>
      <c r="L27" s="92"/>
      <c r="M27" s="92"/>
      <c r="N27" s="93"/>
    </row>
    <row r="28" spans="2:40" x14ac:dyDescent="0.25">
      <c r="I28" s="33"/>
      <c r="J28" s="34"/>
      <c r="K28" s="34"/>
      <c r="L28" s="34"/>
      <c r="M28" s="34"/>
      <c r="N28" s="35"/>
      <c r="P28" s="32" t="s">
        <v>156</v>
      </c>
      <c r="R28" s="136">
        <v>500</v>
      </c>
      <c r="AF28" s="32" t="s">
        <v>37</v>
      </c>
      <c r="AG28" s="32" t="s">
        <v>38</v>
      </c>
      <c r="AH28" s="32" t="s">
        <v>12</v>
      </c>
    </row>
    <row r="29" spans="2:40" x14ac:dyDescent="0.25">
      <c r="B29" s="32" t="s">
        <v>102</v>
      </c>
      <c r="C29" s="154">
        <v>0.05</v>
      </c>
      <c r="I29" s="7">
        <v>0.05</v>
      </c>
      <c r="J29" s="8">
        <v>0.05</v>
      </c>
      <c r="K29" s="8">
        <v>0.05</v>
      </c>
      <c r="L29" s="8"/>
      <c r="M29" s="8"/>
      <c r="N29" s="9"/>
      <c r="P29" s="32" t="s">
        <v>149</v>
      </c>
      <c r="R29" s="141">
        <v>100</v>
      </c>
      <c r="AF29" s="32" t="s">
        <v>39</v>
      </c>
      <c r="AG29" s="32" t="s">
        <v>39</v>
      </c>
      <c r="AH29" s="32" t="s">
        <v>40</v>
      </c>
    </row>
    <row r="30" spans="2:40" x14ac:dyDescent="0.25">
      <c r="I30" s="33"/>
      <c r="J30" s="34"/>
      <c r="K30" s="34"/>
      <c r="L30" s="34"/>
      <c r="M30" s="34"/>
      <c r="N30" s="35"/>
      <c r="P30" s="32" t="s">
        <v>150</v>
      </c>
      <c r="R30" s="140">
        <f>IF(R29=0,0,R28/R29)</f>
        <v>5</v>
      </c>
      <c r="AF30" s="32">
        <f>DATEVALUE(TEXT(C14,"dd-mmm-yyyy"))</f>
        <v>43784</v>
      </c>
      <c r="AG30" s="32">
        <f>DATEVALUE(TEXT(C13,"dd-mmm-yyyy"))</f>
        <v>43586</v>
      </c>
      <c r="AH30" s="32">
        <f>DATEVALUE(TEXT(C16,"dd-mmm-yyyy"))</f>
        <v>43951</v>
      </c>
    </row>
    <row r="31" spans="2:40" x14ac:dyDescent="0.25">
      <c r="B31" s="32" t="s">
        <v>41</v>
      </c>
      <c r="C31" s="155">
        <v>0.9</v>
      </c>
      <c r="I31" s="7">
        <v>0.9</v>
      </c>
      <c r="J31" s="8">
        <v>0.9</v>
      </c>
      <c r="K31" s="8">
        <v>0.9</v>
      </c>
      <c r="L31" s="8"/>
      <c r="M31" s="8"/>
      <c r="N31" s="9"/>
      <c r="P31" s="32" t="s">
        <v>121</v>
      </c>
      <c r="R31" s="136">
        <v>40</v>
      </c>
    </row>
    <row r="32" spans="2:40" x14ac:dyDescent="0.25">
      <c r="B32" s="32" t="s">
        <v>42</v>
      </c>
      <c r="C32" s="156">
        <v>0.05</v>
      </c>
      <c r="I32" s="7">
        <v>0.05</v>
      </c>
      <c r="J32" s="8">
        <v>0.05</v>
      </c>
      <c r="K32" s="8">
        <v>0.05</v>
      </c>
      <c r="L32" s="8"/>
      <c r="M32" s="8"/>
      <c r="N32" s="9"/>
      <c r="P32" s="32" t="s">
        <v>151</v>
      </c>
      <c r="R32" s="136">
        <v>5</v>
      </c>
      <c r="AF32" s="32" t="s">
        <v>43</v>
      </c>
    </row>
    <row r="33" spans="2:39" x14ac:dyDescent="0.25">
      <c r="B33" s="32" t="s">
        <v>112</v>
      </c>
      <c r="C33" s="157">
        <v>0.02</v>
      </c>
      <c r="I33" s="7">
        <v>0.02</v>
      </c>
      <c r="J33" s="8">
        <v>0.02</v>
      </c>
      <c r="K33" s="8">
        <v>0.02</v>
      </c>
      <c r="L33" s="8"/>
      <c r="M33" s="8"/>
      <c r="N33" s="9"/>
      <c r="P33" s="32" t="s">
        <v>152</v>
      </c>
      <c r="R33" s="139">
        <f>C18</f>
        <v>450</v>
      </c>
      <c r="AF33" s="32" t="s">
        <v>44</v>
      </c>
    </row>
    <row r="34" spans="2:39" x14ac:dyDescent="0.25">
      <c r="I34" s="33"/>
      <c r="J34" s="34"/>
      <c r="K34" s="34"/>
      <c r="L34" s="34"/>
      <c r="M34" s="34"/>
      <c r="N34" s="35"/>
      <c r="P34" s="32" t="s">
        <v>153</v>
      </c>
      <c r="R34" s="140">
        <f>IF(R33=0,0,(R30+R31+R32)/R33)</f>
        <v>0.1111111111111111</v>
      </c>
      <c r="AF34" s="32" t="s">
        <v>45</v>
      </c>
    </row>
    <row r="35" spans="2:39" x14ac:dyDescent="0.25">
      <c r="B35" s="32" t="s">
        <v>113</v>
      </c>
      <c r="C35" s="151">
        <v>297</v>
      </c>
      <c r="I35" s="91">
        <v>362.8</v>
      </c>
      <c r="J35" s="92">
        <v>280.89999999999998</v>
      </c>
      <c r="K35" s="92">
        <v>297</v>
      </c>
      <c r="L35" s="92"/>
      <c r="M35" s="92"/>
      <c r="N35" s="93"/>
      <c r="P35" s="32" t="s">
        <v>154</v>
      </c>
      <c r="R35" s="137">
        <v>2</v>
      </c>
      <c r="AM35" s="39"/>
    </row>
    <row r="36" spans="2:39" ht="13" x14ac:dyDescent="0.3">
      <c r="B36" s="32" t="s">
        <v>114</v>
      </c>
      <c r="C36" s="153">
        <v>5</v>
      </c>
      <c r="I36" s="91">
        <v>5</v>
      </c>
      <c r="J36" s="92">
        <v>5</v>
      </c>
      <c r="K36" s="92">
        <v>5</v>
      </c>
      <c r="L36" s="92"/>
      <c r="M36" s="92"/>
      <c r="N36" s="93"/>
      <c r="P36" s="32" t="s">
        <v>155</v>
      </c>
      <c r="R36" s="138">
        <f>R34+R35</f>
        <v>2.1111111111111112</v>
      </c>
      <c r="AM36" s="39"/>
    </row>
    <row r="37" spans="2:39" x14ac:dyDescent="0.25">
      <c r="I37" s="33"/>
      <c r="J37" s="34"/>
      <c r="K37" s="34"/>
      <c r="L37" s="34"/>
      <c r="M37" s="34"/>
      <c r="N37" s="35"/>
      <c r="P37" s="32" t="s">
        <v>157</v>
      </c>
      <c r="R37" s="143">
        <f>R36*R33</f>
        <v>950</v>
      </c>
    </row>
    <row r="38" spans="2:39" x14ac:dyDescent="0.25">
      <c r="B38" s="32" t="s">
        <v>46</v>
      </c>
      <c r="C38" s="40">
        <f>IF(OR(OR(AC13-AC14&gt;150,AC14&gt;AC15),AC14&gt;AC16),#VALUE!,AC15-AC13)</f>
        <v>365</v>
      </c>
      <c r="I38" s="24">
        <v>365</v>
      </c>
      <c r="J38" s="22">
        <v>365</v>
      </c>
      <c r="K38" s="22">
        <v>365</v>
      </c>
      <c r="L38" s="22"/>
      <c r="M38" s="22"/>
      <c r="N38" s="25"/>
    </row>
    <row r="39" spans="2:39" ht="13" x14ac:dyDescent="0.3">
      <c r="B39" s="32" t="s">
        <v>115</v>
      </c>
      <c r="C39" s="41">
        <f>IF(AC14-AC13&lt;210,AC14-AC13,210)+IF(AC16-AC14&lt;150,AC16-AC14,150)</f>
        <v>348</v>
      </c>
      <c r="D39" s="29" t="s">
        <v>47</v>
      </c>
      <c r="I39" s="4">
        <v>348</v>
      </c>
      <c r="J39" s="5">
        <v>348</v>
      </c>
      <c r="K39" s="22">
        <v>348</v>
      </c>
      <c r="L39" s="22"/>
      <c r="M39" s="22"/>
      <c r="N39" s="6"/>
    </row>
    <row r="40" spans="2:39" ht="13" x14ac:dyDescent="0.3">
      <c r="B40" s="32" t="s">
        <v>48</v>
      </c>
      <c r="C40" s="42">
        <f>IF(AC16&gt;AC14+150,AC16-AC14-150,0)</f>
        <v>17</v>
      </c>
      <c r="D40" s="29"/>
      <c r="I40" s="4">
        <v>17</v>
      </c>
      <c r="J40" s="5">
        <v>17</v>
      </c>
      <c r="K40" s="22">
        <v>17</v>
      </c>
      <c r="L40" s="22"/>
      <c r="M40" s="22"/>
      <c r="N40" s="6"/>
    </row>
    <row r="41" spans="2:39" ht="13" x14ac:dyDescent="0.3">
      <c r="D41" s="29"/>
      <c r="I41" s="43"/>
      <c r="J41" s="44"/>
      <c r="K41" s="34"/>
      <c r="L41" s="34"/>
      <c r="M41" s="34"/>
      <c r="N41" s="45"/>
    </row>
    <row r="42" spans="2:39" ht="13" x14ac:dyDescent="0.3">
      <c r="B42" s="32" t="s">
        <v>49</v>
      </c>
      <c r="C42" s="46">
        <f>((C18+C19)/(2*M5))*(C38/365)</f>
        <v>0.98901098901098905</v>
      </c>
      <c r="D42" s="29"/>
      <c r="I42" s="10">
        <v>0.98901098901098905</v>
      </c>
      <c r="J42" s="11">
        <v>0.98901098901098905</v>
      </c>
      <c r="K42" s="11">
        <v>0.98901098901098905</v>
      </c>
      <c r="L42" s="11"/>
      <c r="M42" s="11"/>
      <c r="N42" s="12"/>
      <c r="P42" s="28" t="s">
        <v>80</v>
      </c>
      <c r="Q42" s="28" t="s">
        <v>81</v>
      </c>
      <c r="R42" s="28" t="s">
        <v>82</v>
      </c>
      <c r="T42" s="28" t="s">
        <v>83</v>
      </c>
      <c r="Y42" s="28" t="s">
        <v>84</v>
      </c>
    </row>
    <row r="43" spans="2:39" ht="13" x14ac:dyDescent="0.3">
      <c r="B43" s="32" t="s">
        <v>116</v>
      </c>
      <c r="C43" s="47">
        <f>AN26*C31</f>
        <v>0.31417946505695582</v>
      </c>
      <c r="D43" s="29" t="s">
        <v>50</v>
      </c>
      <c r="I43" s="10">
        <v>0.31417946505695582</v>
      </c>
      <c r="J43" s="11">
        <v>0.31417946505695582</v>
      </c>
      <c r="K43" s="11">
        <v>0.31417946505695582</v>
      </c>
      <c r="L43" s="11"/>
      <c r="M43" s="11"/>
      <c r="N43" s="12"/>
    </row>
    <row r="44" spans="2:39" ht="13" x14ac:dyDescent="0.3">
      <c r="B44" s="32" t="s">
        <v>117</v>
      </c>
      <c r="C44" s="47">
        <f>IF(C40&lt;0,0,((C21+C22)/(2*M5))*(C40/365)*C31)</f>
        <v>1.4740328164985703E-2</v>
      </c>
      <c r="D44" s="29"/>
      <c r="I44" s="10">
        <v>1.4740328164985703E-2</v>
      </c>
      <c r="J44" s="11">
        <v>1.4740328164985703E-2</v>
      </c>
      <c r="K44" s="11">
        <v>1.4740328164985703E-2</v>
      </c>
      <c r="L44" s="11"/>
      <c r="M44" s="11"/>
      <c r="N44" s="12"/>
      <c r="P44" s="32" t="s">
        <v>85</v>
      </c>
      <c r="Q44" s="132">
        <f>C19</f>
        <v>450</v>
      </c>
      <c r="R44" s="133">
        <f>C22</f>
        <v>170</v>
      </c>
      <c r="T44" s="32" t="s">
        <v>86</v>
      </c>
      <c r="W44" s="125">
        <v>2</v>
      </c>
      <c r="Z44" s="61" t="s">
        <v>87</v>
      </c>
      <c r="AA44" s="62" t="s">
        <v>119</v>
      </c>
      <c r="AB44"/>
    </row>
    <row r="45" spans="2:39" ht="13" x14ac:dyDescent="0.3">
      <c r="B45" s="32" t="s">
        <v>51</v>
      </c>
      <c r="C45" s="48">
        <f>SUM(C42:C44)</f>
        <v>1.3179307822329305</v>
      </c>
      <c r="D45" s="29" t="s">
        <v>52</v>
      </c>
      <c r="I45" s="10">
        <v>1.3179307822329305</v>
      </c>
      <c r="J45" s="11">
        <v>1.3179307822329305</v>
      </c>
      <c r="K45" s="11">
        <v>1.3179307822329305</v>
      </c>
      <c r="L45" s="11"/>
      <c r="M45" s="11"/>
      <c r="N45" s="12"/>
      <c r="P45" s="32" t="s">
        <v>88</v>
      </c>
      <c r="Q45" s="91">
        <v>2.1</v>
      </c>
      <c r="R45" s="93">
        <v>2.5</v>
      </c>
      <c r="T45" s="32" t="s">
        <v>89</v>
      </c>
      <c r="W45" s="14">
        <v>500</v>
      </c>
      <c r="Z45" s="63" t="s">
        <v>90</v>
      </c>
      <c r="AA45" s="64" t="s">
        <v>91</v>
      </c>
      <c r="AB45"/>
    </row>
    <row r="46" spans="2:39" ht="13" x14ac:dyDescent="0.3">
      <c r="D46" s="29"/>
      <c r="I46" s="43"/>
      <c r="J46" s="44"/>
      <c r="K46" s="34"/>
      <c r="L46" s="34"/>
      <c r="M46" s="34"/>
      <c r="N46" s="45"/>
      <c r="P46" s="32" t="s">
        <v>120</v>
      </c>
      <c r="Q46" s="106">
        <f>Q45*Q44</f>
        <v>945</v>
      </c>
      <c r="R46" s="108">
        <f>R45*R44</f>
        <v>425</v>
      </c>
      <c r="T46" s="32" t="s">
        <v>92</v>
      </c>
      <c r="W46" s="15">
        <v>25</v>
      </c>
      <c r="AB46"/>
    </row>
    <row r="47" spans="2:39" ht="13" x14ac:dyDescent="0.3">
      <c r="B47" s="32" t="s">
        <v>53</v>
      </c>
      <c r="C47" s="94">
        <f>((1-C32)*C26)+((1-C33)*C31*C27)-C25-C35-(C31*C36)</f>
        <v>55.077560000000062</v>
      </c>
      <c r="D47" s="29"/>
      <c r="I47" s="91">
        <v>-10.72</v>
      </c>
      <c r="J47" s="92">
        <v>71.180000000000007</v>
      </c>
      <c r="K47" s="92">
        <v>55.08</v>
      </c>
      <c r="L47" s="92"/>
      <c r="M47" s="92"/>
      <c r="N47" s="93"/>
      <c r="Z47" s="65">
        <v>250</v>
      </c>
      <c r="AA47" s="66">
        <v>38</v>
      </c>
      <c r="AB47"/>
    </row>
    <row r="48" spans="2:39" ht="13" x14ac:dyDescent="0.3">
      <c r="B48" s="32" t="s">
        <v>105</v>
      </c>
      <c r="C48" s="95">
        <f>IF(C45=0,0,C47/C45)</f>
        <v>41.790935261929164</v>
      </c>
      <c r="D48" s="29" t="s">
        <v>131</v>
      </c>
      <c r="I48" s="91">
        <v>-8.1300000000000008</v>
      </c>
      <c r="J48" s="92">
        <v>54.01</v>
      </c>
      <c r="K48" s="92">
        <v>41.79</v>
      </c>
      <c r="L48" s="92"/>
      <c r="M48" s="92"/>
      <c r="N48" s="93"/>
      <c r="P48" s="32" t="s">
        <v>93</v>
      </c>
      <c r="Q48" s="16">
        <v>0.04</v>
      </c>
      <c r="R48" s="17">
        <v>0.04</v>
      </c>
      <c r="T48" s="32" t="s">
        <v>121</v>
      </c>
      <c r="W48" s="99">
        <f>IF(W46=0,0,W44*W45/W46)</f>
        <v>40</v>
      </c>
      <c r="Z48" s="67">
        <v>300</v>
      </c>
      <c r="AA48" s="68">
        <v>34</v>
      </c>
      <c r="AB48"/>
    </row>
    <row r="49" spans="2:28" ht="13" x14ac:dyDescent="0.3">
      <c r="D49" s="29"/>
      <c r="I49" s="43"/>
      <c r="J49" s="44"/>
      <c r="K49" s="34"/>
      <c r="L49" s="34"/>
      <c r="M49" s="34"/>
      <c r="N49" s="45"/>
      <c r="P49" s="32" t="s">
        <v>122</v>
      </c>
      <c r="Q49" s="116">
        <f>Q48*Q46</f>
        <v>37.800000000000004</v>
      </c>
      <c r="R49" s="118">
        <f>R48*R46</f>
        <v>17</v>
      </c>
      <c r="Z49" s="67">
        <v>350</v>
      </c>
      <c r="AA49" s="68">
        <v>30</v>
      </c>
      <c r="AB49"/>
    </row>
    <row r="50" spans="2:28" ht="13" x14ac:dyDescent="0.3">
      <c r="B50" s="32" t="s">
        <v>54</v>
      </c>
      <c r="C50" s="96">
        <f>((C25+(C26*(1-C32)))/2)*C38/365*C29</f>
        <v>40.023000000000003</v>
      </c>
      <c r="D50" s="29" t="s">
        <v>55</v>
      </c>
      <c r="I50" s="91">
        <v>40.020000000000003</v>
      </c>
      <c r="J50" s="92">
        <v>40.020000000000003</v>
      </c>
      <c r="K50" s="92">
        <v>40.020000000000003</v>
      </c>
      <c r="L50" s="92"/>
      <c r="M50" s="92"/>
      <c r="N50" s="93"/>
      <c r="P50" s="32" t="s">
        <v>94</v>
      </c>
      <c r="Q50" s="91">
        <v>15</v>
      </c>
      <c r="R50" s="93">
        <v>15</v>
      </c>
      <c r="Z50" s="67">
        <v>400</v>
      </c>
      <c r="AA50" s="68">
        <v>28</v>
      </c>
      <c r="AB50"/>
    </row>
    <row r="51" spans="2:28" ht="13" x14ac:dyDescent="0.3">
      <c r="B51" s="32" t="s">
        <v>56</v>
      </c>
      <c r="C51" s="97">
        <f>(C27/2)*C31*(1-C33)*((C39+C40)/365)*C29</f>
        <v>8.4579389999999997</v>
      </c>
      <c r="D51" s="29" t="s">
        <v>57</v>
      </c>
      <c r="I51" s="91">
        <v>8.4600000000000009</v>
      </c>
      <c r="J51" s="92">
        <v>8.4600000000000009</v>
      </c>
      <c r="K51" s="92">
        <v>8.4600000000000009</v>
      </c>
      <c r="L51" s="92"/>
      <c r="M51" s="92"/>
      <c r="N51" s="93"/>
      <c r="P51" s="32" t="s">
        <v>121</v>
      </c>
      <c r="Q51" s="126">
        <v>40</v>
      </c>
      <c r="R51" s="127">
        <v>10</v>
      </c>
      <c r="Z51" s="67">
        <v>450</v>
      </c>
      <c r="AA51" s="68">
        <v>26</v>
      </c>
      <c r="AB51"/>
    </row>
    <row r="52" spans="2:28" ht="13" x14ac:dyDescent="0.3">
      <c r="B52" s="32" t="s">
        <v>58</v>
      </c>
      <c r="C52" s="97">
        <f>((C35+(C31*C36))*C38/730)*C29</f>
        <v>7.5375000000000005</v>
      </c>
      <c r="D52" s="29" t="s">
        <v>59</v>
      </c>
      <c r="I52" s="91">
        <v>9.18</v>
      </c>
      <c r="J52" s="92">
        <v>7.14</v>
      </c>
      <c r="K52" s="92">
        <v>7.54</v>
      </c>
      <c r="L52" s="92"/>
      <c r="M52" s="92"/>
      <c r="N52" s="93"/>
      <c r="Z52" s="67">
        <v>500</v>
      </c>
      <c r="AA52" s="68">
        <v>24</v>
      </c>
      <c r="AB52"/>
    </row>
    <row r="53" spans="2:28" ht="13" x14ac:dyDescent="0.3">
      <c r="B53" s="32" t="s">
        <v>60</v>
      </c>
      <c r="C53" s="98">
        <f>SUM(C50:C52)</f>
        <v>56.018439000000008</v>
      </c>
      <c r="I53" s="91">
        <v>57.66</v>
      </c>
      <c r="J53" s="92">
        <v>55.62</v>
      </c>
      <c r="K53" s="92">
        <v>56.02</v>
      </c>
      <c r="L53" s="92"/>
      <c r="M53" s="92"/>
      <c r="N53" s="93"/>
      <c r="P53" s="32" t="s">
        <v>123</v>
      </c>
      <c r="Q53" s="128">
        <f>Q46-SUM(Q49:Q51)</f>
        <v>852.2</v>
      </c>
      <c r="R53" s="129">
        <f>R46-SUM(R49:R51)</f>
        <v>383</v>
      </c>
      <c r="S53" s="131">
        <f>R53+Q53</f>
        <v>1235.2</v>
      </c>
      <c r="Z53" s="69">
        <v>550</v>
      </c>
      <c r="AA53" s="71">
        <v>22</v>
      </c>
      <c r="AB53"/>
    </row>
    <row r="54" spans="2:28" x14ac:dyDescent="0.25">
      <c r="I54" s="43"/>
      <c r="J54" s="44"/>
      <c r="K54" s="34"/>
      <c r="L54" s="34"/>
      <c r="M54" s="34"/>
      <c r="N54" s="45"/>
      <c r="P54" s="32" t="s">
        <v>95</v>
      </c>
      <c r="Q54" s="116">
        <f>IF(Q44=0,0,Q53/Q44)</f>
        <v>1.8937777777777778</v>
      </c>
      <c r="R54" s="118">
        <f>IF(R44=0,0,R53/R44)</f>
        <v>2.2529411764705882</v>
      </c>
    </row>
    <row r="55" spans="2:28" x14ac:dyDescent="0.25">
      <c r="B55" s="32" t="s">
        <v>118</v>
      </c>
      <c r="C55" s="99">
        <f>IF(C45=0,0,(C53/C29)/C45)</f>
        <v>850.09682989708529</v>
      </c>
      <c r="I55" s="91">
        <v>875.06</v>
      </c>
      <c r="J55" s="92">
        <v>843.99</v>
      </c>
      <c r="K55" s="92">
        <v>850.09</v>
      </c>
      <c r="L55" s="92"/>
      <c r="M55" s="92"/>
      <c r="N55" s="93"/>
      <c r="P55" s="32" t="s">
        <v>96</v>
      </c>
      <c r="Q55" s="7">
        <v>0</v>
      </c>
      <c r="R55" s="9">
        <v>0</v>
      </c>
    </row>
    <row r="56" spans="2:28" x14ac:dyDescent="0.25">
      <c r="I56" s="43"/>
      <c r="J56" s="44"/>
      <c r="K56" s="34"/>
      <c r="L56" s="34"/>
      <c r="M56" s="34"/>
      <c r="N56" s="45"/>
      <c r="P56" s="32" t="s">
        <v>97</v>
      </c>
      <c r="Q56" s="106">
        <f>IF(Q55=0,0,Q54/Q55)</f>
        <v>0</v>
      </c>
      <c r="R56" s="108">
        <f>IF(R55=0,0,R54/R55)</f>
        <v>0</v>
      </c>
      <c r="T56" s="32" t="s">
        <v>132</v>
      </c>
    </row>
    <row r="57" spans="2:28" ht="13" x14ac:dyDescent="0.3">
      <c r="B57" s="32" t="s">
        <v>106</v>
      </c>
      <c r="C57" s="94">
        <f>C47-C53</f>
        <v>-0.94087899999994562</v>
      </c>
      <c r="I57" s="91">
        <v>-68.38</v>
      </c>
      <c r="J57" s="92">
        <v>15.56</v>
      </c>
      <c r="K57" s="92">
        <v>-0.94</v>
      </c>
      <c r="L57" s="92"/>
      <c r="M57" s="92"/>
      <c r="N57" s="93"/>
      <c r="T57" s="32" t="s">
        <v>133</v>
      </c>
    </row>
    <row r="58" spans="2:28" ht="13" x14ac:dyDescent="0.3">
      <c r="B58" s="32" t="s">
        <v>107</v>
      </c>
      <c r="C58" s="100">
        <f>IF(C45&lt;=0,0,C57/C45)</f>
        <v>-0.71390623292510291</v>
      </c>
      <c r="D58" s="32" t="s">
        <v>131</v>
      </c>
      <c r="I58" s="91">
        <v>-51.89</v>
      </c>
      <c r="J58" s="92">
        <v>11.81</v>
      </c>
      <c r="K58" s="92">
        <v>-0.71</v>
      </c>
      <c r="L58" s="92"/>
      <c r="M58" s="92"/>
      <c r="N58" s="93"/>
    </row>
    <row r="59" spans="2:28" ht="13" x14ac:dyDescent="0.3">
      <c r="B59" s="32" t="s">
        <v>61</v>
      </c>
      <c r="C59" s="18">
        <f>IF(C55=0,0,C48/C55)</f>
        <v>4.9160205981462694E-2</v>
      </c>
      <c r="I59" s="19">
        <v>-9.2961916813194857E-3</v>
      </c>
      <c r="J59" s="20">
        <v>6.3991821536202892E-2</v>
      </c>
      <c r="K59" s="20">
        <v>4.9161706938601279E-2</v>
      </c>
      <c r="L59" s="20"/>
      <c r="M59" s="20"/>
      <c r="N59" s="21"/>
    </row>
    <row r="62" spans="2:28" ht="13" x14ac:dyDescent="0.3">
      <c r="B62" s="28" t="s">
        <v>62</v>
      </c>
      <c r="D62" s="28" t="s">
        <v>63</v>
      </c>
      <c r="F62" s="49" t="s">
        <v>64</v>
      </c>
      <c r="G62" s="50" t="s">
        <v>65</v>
      </c>
      <c r="H62" s="50" t="s">
        <v>66</v>
      </c>
      <c r="I62" s="50" t="s">
        <v>67</v>
      </c>
      <c r="J62" s="50" t="s">
        <v>68</v>
      </c>
      <c r="K62" s="50" t="s">
        <v>69</v>
      </c>
      <c r="L62" s="50" t="s">
        <v>70</v>
      </c>
      <c r="M62" s="50" t="s">
        <v>71</v>
      </c>
      <c r="N62" s="51" t="s">
        <v>72</v>
      </c>
    </row>
    <row r="64" spans="2:28" x14ac:dyDescent="0.25">
      <c r="B64" s="32" t="s">
        <v>108</v>
      </c>
      <c r="C64" s="101">
        <v>50</v>
      </c>
      <c r="F64" s="102">
        <f>C64*(1-C32)</f>
        <v>47.5</v>
      </c>
      <c r="G64" s="103">
        <f>IF(C45&lt;=0,0,F64/C45)</f>
        <v>36.04134651102251</v>
      </c>
      <c r="H64" s="52">
        <f>F88-E88</f>
        <v>4.2250275075482714E-2</v>
      </c>
      <c r="I64" s="103">
        <f>IF($C$29&lt;=0,0,K64/$C$29)</f>
        <v>23.75</v>
      </c>
      <c r="J64" s="103">
        <f>IF(C45&lt;=0,0,I64/$C$45)</f>
        <v>18.020673255511255</v>
      </c>
      <c r="K64" s="103">
        <f>C64*(1-C32)*C29/2</f>
        <v>1.1875</v>
      </c>
      <c r="L64" s="103">
        <f>IF(C45&lt;= 0,0,K64/C45)</f>
        <v>0.90103366277556285</v>
      </c>
      <c r="M64" s="103">
        <f>F64-K64</f>
        <v>46.3125</v>
      </c>
      <c r="N64" s="104">
        <f>IF(C45&lt;=0,0,M64/C45)</f>
        <v>35.14031284824695</v>
      </c>
    </row>
    <row r="65" spans="2:14" x14ac:dyDescent="0.25">
      <c r="B65" s="32" t="s">
        <v>109</v>
      </c>
      <c r="C65" s="105">
        <v>30</v>
      </c>
      <c r="F65" s="106">
        <f>C65*C31*(1-C33)</f>
        <v>26.46</v>
      </c>
      <c r="G65" s="107">
        <f>IF(C45&lt;=0,0,F65/C45)</f>
        <v>20.076926919613804</v>
      </c>
      <c r="H65" s="53">
        <f>F88-F87</f>
        <v>2.3311992083653012E-2</v>
      </c>
      <c r="I65" s="107">
        <f>IF($C$29&lt;=0,0,K65/C29)</f>
        <v>13.23</v>
      </c>
      <c r="J65" s="107">
        <f>IF(C45&lt;=0,0,I65/$C$45)</f>
        <v>10.038463459806902</v>
      </c>
      <c r="K65" s="107">
        <f>C65*C31*(1-C33)*C29/2</f>
        <v>0.66150000000000009</v>
      </c>
      <c r="L65" s="107">
        <f>IF(C45&lt;=0,0,K65/C45)</f>
        <v>0.50192317299034517</v>
      </c>
      <c r="M65" s="107">
        <f>F65-K65</f>
        <v>25.798500000000001</v>
      </c>
      <c r="N65" s="108">
        <f>IF(C45&lt;=0,0,M65/C45)</f>
        <v>19.575003746623459</v>
      </c>
    </row>
    <row r="67" spans="2:14" ht="13" x14ac:dyDescent="0.3">
      <c r="B67" s="31" t="s">
        <v>110</v>
      </c>
      <c r="D67" s="109">
        <f>E67-$C$64</f>
        <v>752.2</v>
      </c>
      <c r="E67" s="110">
        <f>F67-$C$64</f>
        <v>802.2</v>
      </c>
      <c r="F67" s="111">
        <f>$C$26</f>
        <v>852.2</v>
      </c>
      <c r="G67" s="110">
        <f>F67+$C$64</f>
        <v>902.2</v>
      </c>
      <c r="H67" s="112">
        <f>G67+$C$64</f>
        <v>952.2</v>
      </c>
      <c r="J67" s="109">
        <f>K67-$C$64</f>
        <v>752.2</v>
      </c>
      <c r="K67" s="110">
        <f>L67-$C$64</f>
        <v>802.2</v>
      </c>
      <c r="L67" s="111">
        <f>$C$26</f>
        <v>852.2</v>
      </c>
      <c r="M67" s="110">
        <f>L67+$C$64</f>
        <v>902.2</v>
      </c>
      <c r="N67" s="112">
        <f>M67+$C$64</f>
        <v>952.2</v>
      </c>
    </row>
    <row r="69" spans="2:14" ht="13" x14ac:dyDescent="0.3">
      <c r="B69" s="28" t="s">
        <v>73</v>
      </c>
      <c r="D69" s="32" t="s">
        <v>74</v>
      </c>
      <c r="F69" s="70"/>
      <c r="J69" s="32" t="s">
        <v>75</v>
      </c>
      <c r="L69" s="70"/>
    </row>
    <row r="70" spans="2:14" ht="13" x14ac:dyDescent="0.3">
      <c r="C70" s="113">
        <f>C71-$C$65</f>
        <v>323.58</v>
      </c>
      <c r="D70" s="102">
        <f t="shared" ref="D70:E74" si="10">E70-$F$64</f>
        <v>-92.842439999999939</v>
      </c>
      <c r="E70" s="103">
        <f t="shared" si="10"/>
        <v>-45.342439999999939</v>
      </c>
      <c r="F70" s="114">
        <f>F71-$F$65</f>
        <v>2.1575600000000605</v>
      </c>
      <c r="G70" s="103">
        <f t="shared" ref="G70:H74" si="11">F70+$F$64</f>
        <v>49.657560000000061</v>
      </c>
      <c r="H70" s="104">
        <f t="shared" si="11"/>
        <v>97.157560000000061</v>
      </c>
      <c r="J70" s="102">
        <f t="shared" ref="J70:K74" si="12">K70-$M$64</f>
        <v>-145.16287899999995</v>
      </c>
      <c r="K70" s="103">
        <f t="shared" si="12"/>
        <v>-98.850378999999947</v>
      </c>
      <c r="L70" s="114">
        <f>L71-$M$65</f>
        <v>-52.537878999999947</v>
      </c>
      <c r="M70" s="103">
        <f t="shared" ref="M70:N74" si="13">L70+$M$64</f>
        <v>-6.2253789999999469</v>
      </c>
      <c r="N70" s="104">
        <f t="shared" si="13"/>
        <v>40.087121000000053</v>
      </c>
    </row>
    <row r="71" spans="2:14" ht="13" x14ac:dyDescent="0.3">
      <c r="C71" s="115">
        <f>C72-$C$65</f>
        <v>353.58</v>
      </c>
      <c r="D71" s="116">
        <f t="shared" si="10"/>
        <v>-66.382439999999946</v>
      </c>
      <c r="E71" s="117">
        <f t="shared" si="10"/>
        <v>-18.882439999999939</v>
      </c>
      <c r="F71" s="114">
        <f>F72-$F$65</f>
        <v>28.617560000000061</v>
      </c>
      <c r="G71" s="117">
        <f t="shared" si="11"/>
        <v>76.117560000000054</v>
      </c>
      <c r="H71" s="118">
        <f t="shared" si="11"/>
        <v>123.61756000000005</v>
      </c>
      <c r="J71" s="116">
        <f t="shared" si="12"/>
        <v>-119.36437899999994</v>
      </c>
      <c r="K71" s="117">
        <f t="shared" si="12"/>
        <v>-73.051878999999943</v>
      </c>
      <c r="L71" s="114">
        <f>L72-$M$65</f>
        <v>-26.739378999999946</v>
      </c>
      <c r="M71" s="117">
        <f t="shared" si="13"/>
        <v>19.573121000000054</v>
      </c>
      <c r="N71" s="118">
        <f t="shared" si="13"/>
        <v>65.885621000000057</v>
      </c>
    </row>
    <row r="72" spans="2:14" ht="13" x14ac:dyDescent="0.3">
      <c r="C72" s="119">
        <f>$C$27</f>
        <v>383.58</v>
      </c>
      <c r="D72" s="114">
        <f t="shared" si="10"/>
        <v>-39.922439999999938</v>
      </c>
      <c r="E72" s="114">
        <f t="shared" si="10"/>
        <v>7.5775600000000622</v>
      </c>
      <c r="F72" s="120">
        <f>C47</f>
        <v>55.077560000000062</v>
      </c>
      <c r="G72" s="114">
        <f t="shared" si="11"/>
        <v>102.57756000000006</v>
      </c>
      <c r="H72" s="121">
        <f t="shared" si="11"/>
        <v>150.07756000000006</v>
      </c>
      <c r="J72" s="122">
        <f t="shared" si="12"/>
        <v>-93.565878999999939</v>
      </c>
      <c r="K72" s="114">
        <f t="shared" si="12"/>
        <v>-47.253378999999946</v>
      </c>
      <c r="L72" s="120">
        <f>C57</f>
        <v>-0.94087899999994562</v>
      </c>
      <c r="M72" s="114">
        <f t="shared" si="13"/>
        <v>45.371621000000054</v>
      </c>
      <c r="N72" s="121">
        <f t="shared" si="13"/>
        <v>91.684121000000061</v>
      </c>
    </row>
    <row r="73" spans="2:14" ht="13" x14ac:dyDescent="0.3">
      <c r="C73" s="115">
        <f>C72+$C$65</f>
        <v>413.58</v>
      </c>
      <c r="D73" s="116">
        <f t="shared" si="10"/>
        <v>-13.46243999999993</v>
      </c>
      <c r="E73" s="117">
        <f t="shared" si="10"/>
        <v>34.03756000000007</v>
      </c>
      <c r="F73" s="114">
        <f>F72+$F$65</f>
        <v>81.53756000000007</v>
      </c>
      <c r="G73" s="117">
        <f t="shared" si="11"/>
        <v>129.03756000000007</v>
      </c>
      <c r="H73" s="118">
        <f t="shared" si="11"/>
        <v>176.53756000000007</v>
      </c>
      <c r="J73" s="116">
        <f t="shared" si="12"/>
        <v>-67.767378999999949</v>
      </c>
      <c r="K73" s="117">
        <f t="shared" si="12"/>
        <v>-21.454878999999945</v>
      </c>
      <c r="L73" s="114">
        <f>L72+$M$65</f>
        <v>24.857621000000055</v>
      </c>
      <c r="M73" s="117">
        <f t="shared" si="13"/>
        <v>71.170121000000051</v>
      </c>
      <c r="N73" s="118">
        <f t="shared" si="13"/>
        <v>117.48262100000005</v>
      </c>
    </row>
    <row r="74" spans="2:14" ht="13" x14ac:dyDescent="0.3">
      <c r="C74" s="123">
        <f>C73+$C$65</f>
        <v>443.58</v>
      </c>
      <c r="D74" s="106">
        <f t="shared" si="10"/>
        <v>12.997560000000078</v>
      </c>
      <c r="E74" s="107">
        <f t="shared" si="10"/>
        <v>60.497560000000078</v>
      </c>
      <c r="F74" s="124">
        <f>F73+$F$65</f>
        <v>107.99756000000008</v>
      </c>
      <c r="G74" s="107">
        <f t="shared" si="11"/>
        <v>155.49756000000008</v>
      </c>
      <c r="H74" s="108">
        <f t="shared" si="11"/>
        <v>202.99756000000008</v>
      </c>
      <c r="J74" s="106">
        <f t="shared" si="12"/>
        <v>-41.968878999999944</v>
      </c>
      <c r="K74" s="107">
        <f t="shared" si="12"/>
        <v>4.3436210000000557</v>
      </c>
      <c r="L74" s="124">
        <f>L73+$M$65</f>
        <v>50.656121000000056</v>
      </c>
      <c r="M74" s="107">
        <f t="shared" si="13"/>
        <v>96.968621000000056</v>
      </c>
      <c r="N74" s="108">
        <f t="shared" si="13"/>
        <v>143.28112100000004</v>
      </c>
    </row>
    <row r="75" spans="2:14" x14ac:dyDescent="0.25">
      <c r="D75" s="32" t="s">
        <v>76</v>
      </c>
    </row>
    <row r="77" spans="2:14" ht="13" x14ac:dyDescent="0.3">
      <c r="B77" s="28" t="s">
        <v>73</v>
      </c>
      <c r="D77" s="32" t="s">
        <v>77</v>
      </c>
      <c r="F77" s="70"/>
      <c r="J77" s="32" t="s">
        <v>78</v>
      </c>
      <c r="L77" s="70"/>
    </row>
    <row r="78" spans="2:14" ht="13" x14ac:dyDescent="0.3">
      <c r="C78" s="113">
        <f>C79-$C$65</f>
        <v>323.58</v>
      </c>
      <c r="D78" s="102">
        <f>IF($C$45&lt;=0,0,D70/$C$45)</f>
        <v>-70.445611599343465</v>
      </c>
      <c r="E78" s="103">
        <f>IF($C$45&lt;=0,0,E70/$C$45)</f>
        <v>-34.404265088320955</v>
      </c>
      <c r="F78" s="114">
        <f>IF($C$45&lt;=0,0,F70/$C$45)</f>
        <v>1.6370814227015562</v>
      </c>
      <c r="G78" s="103">
        <f>IF($C$45&lt;=0,0,G70/$C$45)</f>
        <v>37.678427933724066</v>
      </c>
      <c r="H78" s="104">
        <f>IF($C$45&lt;=0,0,H70/$C$45)</f>
        <v>73.719774444746577</v>
      </c>
      <c r="J78" s="102">
        <f t="shared" ref="J78:N82" si="14">IF($C$45&lt;=0,0,J70/$C$45)</f>
        <v>-110.14453942266593</v>
      </c>
      <c r="K78" s="103">
        <f t="shared" si="14"/>
        <v>-75.004226574418965</v>
      </c>
      <c r="L78" s="114">
        <f t="shared" si="14"/>
        <v>-39.863913726172022</v>
      </c>
      <c r="M78" s="103">
        <f t="shared" si="14"/>
        <v>-4.7236008779250716</v>
      </c>
      <c r="N78" s="104">
        <f t="shared" si="14"/>
        <v>30.416711970321877</v>
      </c>
    </row>
    <row r="79" spans="2:14" ht="13" x14ac:dyDescent="0.3">
      <c r="C79" s="115">
        <f>C80-$C$65</f>
        <v>353.58</v>
      </c>
      <c r="D79" s="116">
        <f t="shared" ref="D79:H82" si="15">IF($C$45&lt;=0,0,D71/$C$45)</f>
        <v>-50.368684679729668</v>
      </c>
      <c r="E79" s="117">
        <f t="shared" si="15"/>
        <v>-14.327338168707152</v>
      </c>
      <c r="F79" s="114">
        <f t="shared" si="15"/>
        <v>21.71400834231536</v>
      </c>
      <c r="G79" s="117">
        <f t="shared" si="15"/>
        <v>57.75535485333787</v>
      </c>
      <c r="H79" s="118">
        <f t="shared" si="15"/>
        <v>93.796701364360388</v>
      </c>
      <c r="J79" s="116">
        <f t="shared" si="14"/>
        <v>-90.569535676042463</v>
      </c>
      <c r="K79" s="117">
        <f t="shared" si="14"/>
        <v>-55.429222827795513</v>
      </c>
      <c r="L79" s="114">
        <f t="shared" si="14"/>
        <v>-20.288909979548563</v>
      </c>
      <c r="M79" s="117">
        <f t="shared" si="14"/>
        <v>14.851402868698388</v>
      </c>
      <c r="N79" s="118">
        <f t="shared" si="14"/>
        <v>49.991715716945343</v>
      </c>
    </row>
    <row r="80" spans="2:14" ht="13" x14ac:dyDescent="0.3">
      <c r="C80" s="119">
        <f>$C$27</f>
        <v>383.58</v>
      </c>
      <c r="D80" s="114">
        <f t="shared" si="15"/>
        <v>-30.291757760115861</v>
      </c>
      <c r="E80" s="114">
        <f t="shared" si="15"/>
        <v>5.7495887509066526</v>
      </c>
      <c r="F80" s="120">
        <f t="shared" si="15"/>
        <v>41.790935261929164</v>
      </c>
      <c r="G80" s="114">
        <f t="shared" si="15"/>
        <v>77.832281772951674</v>
      </c>
      <c r="H80" s="121">
        <f t="shared" si="15"/>
        <v>113.87362828397418</v>
      </c>
      <c r="J80" s="122">
        <f t="shared" si="14"/>
        <v>-70.994531929418997</v>
      </c>
      <c r="K80" s="114">
        <f t="shared" si="14"/>
        <v>-35.854219081172054</v>
      </c>
      <c r="L80" s="120">
        <f t="shared" si="14"/>
        <v>-0.71390623292510291</v>
      </c>
      <c r="M80" s="114">
        <f t="shared" si="14"/>
        <v>34.426406615321845</v>
      </c>
      <c r="N80" s="121">
        <f t="shared" si="14"/>
        <v>69.566719463568802</v>
      </c>
    </row>
    <row r="81" spans="2:14" ht="13" x14ac:dyDescent="0.3">
      <c r="C81" s="115">
        <f>C80+$C$65</f>
        <v>413.58</v>
      </c>
      <c r="D81" s="116">
        <f t="shared" si="15"/>
        <v>-10.214830840502051</v>
      </c>
      <c r="E81" s="117">
        <f t="shared" si="15"/>
        <v>25.826515670520461</v>
      </c>
      <c r="F81" s="114">
        <f t="shared" si="15"/>
        <v>61.867862181542975</v>
      </c>
      <c r="G81" s="117">
        <f t="shared" si="15"/>
        <v>97.909208692565485</v>
      </c>
      <c r="H81" s="118">
        <f t="shared" si="15"/>
        <v>133.95055520358801</v>
      </c>
      <c r="J81" s="116">
        <f t="shared" si="14"/>
        <v>-51.419528182795545</v>
      </c>
      <c r="K81" s="117">
        <f t="shared" si="14"/>
        <v>-16.279215334548592</v>
      </c>
      <c r="L81" s="114">
        <f t="shared" si="14"/>
        <v>18.861097513698358</v>
      </c>
      <c r="M81" s="117">
        <f t="shared" si="14"/>
        <v>54.001410361945304</v>
      </c>
      <c r="N81" s="118">
        <f t="shared" si="14"/>
        <v>89.141723210192254</v>
      </c>
    </row>
    <row r="82" spans="2:14" ht="13" x14ac:dyDescent="0.3">
      <c r="C82" s="123">
        <f>C81+$C$65</f>
        <v>443.58</v>
      </c>
      <c r="D82" s="106">
        <f t="shared" si="15"/>
        <v>9.86209607911176</v>
      </c>
      <c r="E82" s="107">
        <f t="shared" si="15"/>
        <v>45.903442590134276</v>
      </c>
      <c r="F82" s="124">
        <f t="shared" si="15"/>
        <v>81.944789101156786</v>
      </c>
      <c r="G82" s="107">
        <f t="shared" si="15"/>
        <v>117.9861356121793</v>
      </c>
      <c r="H82" s="108">
        <f t="shared" si="15"/>
        <v>154.02748212320182</v>
      </c>
      <c r="J82" s="106">
        <f t="shared" si="14"/>
        <v>-31.844524436172083</v>
      </c>
      <c r="K82" s="107">
        <f t="shared" si="14"/>
        <v>3.2957884120748657</v>
      </c>
      <c r="L82" s="124">
        <f t="shared" si="14"/>
        <v>38.436101260321813</v>
      </c>
      <c r="M82" s="107">
        <f t="shared" si="14"/>
        <v>73.57641410856877</v>
      </c>
      <c r="N82" s="108">
        <f t="shared" si="14"/>
        <v>108.71672695681571</v>
      </c>
    </row>
    <row r="85" spans="2:14" ht="13" x14ac:dyDescent="0.3">
      <c r="B85" s="28" t="s">
        <v>73</v>
      </c>
      <c r="D85" s="32" t="s">
        <v>61</v>
      </c>
      <c r="F85" s="70"/>
      <c r="J85" s="32" t="s">
        <v>79</v>
      </c>
      <c r="L85" s="70"/>
    </row>
    <row r="86" spans="2:14" ht="13" x14ac:dyDescent="0.3">
      <c r="C86" s="113">
        <f>C87-$C$65</f>
        <v>323.58</v>
      </c>
      <c r="D86" s="54">
        <f t="shared" ref="D86:H90" si="16">D78/J86</f>
        <v>-8.8724828933488042E-2</v>
      </c>
      <c r="E86" s="52">
        <f t="shared" si="16"/>
        <v>-4.2369824784318388E-2</v>
      </c>
      <c r="F86" s="72">
        <f t="shared" si="16"/>
        <v>1.9723399605587407E-3</v>
      </c>
      <c r="G86" s="52">
        <f t="shared" si="16"/>
        <v>4.44299824674576E-2</v>
      </c>
      <c r="H86" s="55">
        <f t="shared" si="16"/>
        <v>8.5120740003419307E-2</v>
      </c>
      <c r="J86" s="102">
        <f t="shared" ref="J86:K90" si="17">K86-$J$64</f>
        <v>793.97855646644905</v>
      </c>
      <c r="K86" s="103">
        <f t="shared" si="17"/>
        <v>811.99922972196032</v>
      </c>
      <c r="L86" s="114">
        <f>L87-$J$65</f>
        <v>830.01990297747159</v>
      </c>
      <c r="M86" s="103">
        <f t="shared" ref="M86:N90" si="18">L86+$J$64</f>
        <v>848.04057623298286</v>
      </c>
      <c r="N86" s="104">
        <f t="shared" si="18"/>
        <v>866.06124948849413</v>
      </c>
    </row>
    <row r="87" spans="2:14" ht="13" x14ac:dyDescent="0.3">
      <c r="C87" s="115">
        <f>C88-$C$65</f>
        <v>353.58</v>
      </c>
      <c r="D87" s="56">
        <f t="shared" si="16"/>
        <v>-6.2646291597595119E-2</v>
      </c>
      <c r="E87" s="57">
        <f t="shared" si="16"/>
        <v>-1.7429052569660115E-2</v>
      </c>
      <c r="F87" s="72">
        <f t="shared" si="16"/>
        <v>2.5848213897809683E-2</v>
      </c>
      <c r="G87" s="57">
        <f t="shared" si="16"/>
        <v>6.7307732949654031E-2</v>
      </c>
      <c r="H87" s="58">
        <f t="shared" si="16"/>
        <v>0.10706167343521932</v>
      </c>
      <c r="J87" s="116">
        <f t="shared" si="17"/>
        <v>804.0170199262559</v>
      </c>
      <c r="K87" s="117">
        <f t="shared" si="17"/>
        <v>822.03769318176717</v>
      </c>
      <c r="L87" s="114">
        <f>L88-$J$65</f>
        <v>840.05836643727844</v>
      </c>
      <c r="M87" s="117">
        <f t="shared" si="18"/>
        <v>858.07903969278971</v>
      </c>
      <c r="N87" s="118">
        <f t="shared" si="18"/>
        <v>876.09971294830098</v>
      </c>
    </row>
    <row r="88" spans="2:14" ht="13" x14ac:dyDescent="0.3">
      <c r="C88" s="119">
        <f>$C$27</f>
        <v>383.58</v>
      </c>
      <c r="D88" s="114">
        <f t="shared" si="16"/>
        <v>-3.7210925272706641E-2</v>
      </c>
      <c r="E88" s="114">
        <f t="shared" si="16"/>
        <v>6.9099309059799819E-3</v>
      </c>
      <c r="F88" s="73">
        <f t="shared" si="16"/>
        <v>4.9160205981462694E-2</v>
      </c>
      <c r="G88" s="114">
        <f t="shared" si="16"/>
        <v>8.9656390396808325E-2</v>
      </c>
      <c r="H88" s="121">
        <f t="shared" si="16"/>
        <v>0.12850549870851077</v>
      </c>
      <c r="J88" s="122">
        <f t="shared" si="17"/>
        <v>814.05548338606275</v>
      </c>
      <c r="K88" s="114">
        <f t="shared" si="17"/>
        <v>832.07615664157402</v>
      </c>
      <c r="L88" s="120">
        <f>C55</f>
        <v>850.09682989708529</v>
      </c>
      <c r="M88" s="114">
        <f t="shared" si="18"/>
        <v>868.11750315259656</v>
      </c>
      <c r="N88" s="121">
        <f t="shared" si="18"/>
        <v>886.13817640810782</v>
      </c>
    </row>
    <row r="89" spans="2:14" ht="13" x14ac:dyDescent="0.3">
      <c r="C89" s="115">
        <f>C88+$C$65</f>
        <v>413.58</v>
      </c>
      <c r="D89" s="56">
        <f t="shared" si="16"/>
        <v>-1.2395226150608448E-2</v>
      </c>
      <c r="E89" s="57">
        <f t="shared" si="16"/>
        <v>3.0668646588051456E-2</v>
      </c>
      <c r="F89" s="72">
        <f t="shared" si="16"/>
        <v>7.1928059061602087E-2</v>
      </c>
      <c r="G89" s="57">
        <f t="shared" si="16"/>
        <v>0.1114940994710342</v>
      </c>
      <c r="H89" s="58">
        <f t="shared" si="16"/>
        <v>0.1494689207959389</v>
      </c>
      <c r="J89" s="116">
        <f t="shared" si="17"/>
        <v>824.0939468458696</v>
      </c>
      <c r="K89" s="117">
        <f t="shared" si="17"/>
        <v>842.11462010138086</v>
      </c>
      <c r="L89" s="114">
        <f>L88+$J$65</f>
        <v>860.13529335689213</v>
      </c>
      <c r="M89" s="117">
        <f t="shared" si="18"/>
        <v>878.1559666124034</v>
      </c>
      <c r="N89" s="118">
        <f t="shared" si="18"/>
        <v>896.17663986791467</v>
      </c>
    </row>
    <row r="90" spans="2:14" ht="13" x14ac:dyDescent="0.3">
      <c r="C90" s="123">
        <f>C89+$C$65</f>
        <v>443.58</v>
      </c>
      <c r="D90" s="59">
        <f t="shared" si="16"/>
        <v>1.1823178139664532E-2</v>
      </c>
      <c r="E90" s="53">
        <f t="shared" si="16"/>
        <v>5.3867601344938676E-2</v>
      </c>
      <c r="F90" s="74">
        <f t="shared" si="16"/>
        <v>9.4170604961623036E-2</v>
      </c>
      <c r="G90" s="53">
        <f t="shared" si="16"/>
        <v>0.13283818454320528</v>
      </c>
      <c r="H90" s="60">
        <f t="shared" si="16"/>
        <v>0.16996790448271715</v>
      </c>
      <c r="J90" s="106">
        <f t="shared" si="17"/>
        <v>834.13241030567644</v>
      </c>
      <c r="K90" s="107">
        <f t="shared" si="17"/>
        <v>852.15308356118771</v>
      </c>
      <c r="L90" s="124">
        <f>L89+$J$65</f>
        <v>870.17375681669898</v>
      </c>
      <c r="M90" s="107">
        <f t="shared" si="18"/>
        <v>888.19443007221025</v>
      </c>
      <c r="N90" s="108">
        <f t="shared" si="18"/>
        <v>906.21510332772152</v>
      </c>
    </row>
    <row r="93" spans="2:14" ht="13" x14ac:dyDescent="0.3">
      <c r="C93" s="28" t="s">
        <v>124</v>
      </c>
    </row>
    <row r="94" spans="2:14" x14ac:dyDescent="0.25">
      <c r="C94" s="3" t="str">
        <f>""</f>
        <v/>
      </c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8"/>
    </row>
    <row r="95" spans="2:14" x14ac:dyDescent="0.25">
      <c r="C95" s="4" t="str">
        <f>""</f>
        <v/>
      </c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80"/>
    </row>
    <row r="96" spans="2:14" x14ac:dyDescent="0.25">
      <c r="C96" s="4" t="str">
        <f>""</f>
        <v/>
      </c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80"/>
    </row>
    <row r="97" spans="3:14" x14ac:dyDescent="0.25">
      <c r="C97" s="4" t="str">
        <f>""</f>
        <v/>
      </c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80"/>
    </row>
    <row r="98" spans="3:14" x14ac:dyDescent="0.25">
      <c r="C98" s="4" t="str">
        <f>""</f>
        <v/>
      </c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80"/>
    </row>
    <row r="99" spans="3:14" x14ac:dyDescent="0.25">
      <c r="C99" s="4" t="str">
        <f>""</f>
        <v/>
      </c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80"/>
    </row>
    <row r="100" spans="3:14" x14ac:dyDescent="0.25">
      <c r="C100" s="4" t="str">
        <f>""</f>
        <v/>
      </c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80"/>
    </row>
    <row r="101" spans="3:14" x14ac:dyDescent="0.25">
      <c r="C101" s="4" t="str">
        <f>""</f>
        <v/>
      </c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80"/>
    </row>
    <row r="102" spans="3:14" x14ac:dyDescent="0.25">
      <c r="C102" s="4" t="str">
        <f>""</f>
        <v/>
      </c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80"/>
    </row>
    <row r="103" spans="3:14" x14ac:dyDescent="0.25">
      <c r="C103" s="4" t="str">
        <f>""</f>
        <v/>
      </c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80"/>
    </row>
    <row r="104" spans="3:14" x14ac:dyDescent="0.25">
      <c r="C104" s="4" t="str">
        <f>""</f>
        <v/>
      </c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80"/>
    </row>
    <row r="105" spans="3:14" x14ac:dyDescent="0.25">
      <c r="C105" s="4" t="str">
        <f>""</f>
        <v/>
      </c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80"/>
    </row>
    <row r="106" spans="3:14" x14ac:dyDescent="0.25">
      <c r="C106" s="4" t="str">
        <f>""</f>
        <v/>
      </c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80"/>
    </row>
    <row r="107" spans="3:14" x14ac:dyDescent="0.25">
      <c r="C107" s="4" t="str">
        <f>""</f>
        <v/>
      </c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80"/>
    </row>
    <row r="108" spans="3:14" x14ac:dyDescent="0.25">
      <c r="C108" s="4" t="str">
        <f>""</f>
        <v/>
      </c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80"/>
    </row>
    <row r="109" spans="3:14" x14ac:dyDescent="0.25">
      <c r="C109" s="4" t="str">
        <f>""</f>
        <v/>
      </c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80"/>
    </row>
    <row r="110" spans="3:14" x14ac:dyDescent="0.25">
      <c r="C110" s="4" t="str">
        <f>""</f>
        <v/>
      </c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80"/>
    </row>
    <row r="111" spans="3:14" x14ac:dyDescent="0.25">
      <c r="C111" s="4" t="str">
        <f>""</f>
        <v/>
      </c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80"/>
    </row>
    <row r="112" spans="3:14" x14ac:dyDescent="0.25">
      <c r="C112" s="4" t="str">
        <f>""</f>
        <v/>
      </c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80"/>
    </row>
    <row r="113" spans="3:14" x14ac:dyDescent="0.25">
      <c r="C113" s="13" t="str">
        <f>""</f>
        <v/>
      </c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2"/>
    </row>
  </sheetData>
  <phoneticPr fontId="0" type="noConversion"/>
  <pageMargins left="0.75" right="0.75" top="1" bottom="1" header="0.5" footer="0.5"/>
  <pageSetup paperSize="9" orientation="portrait" r:id="rId1"/>
  <headerFooter alignWithMargins="0"/>
  <ignoredErrors>
    <ignoredError sqref="C94:C113 L10:N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Cowtrade</vt:lpstr>
      <vt:lpstr>Calculators</vt:lpstr>
      <vt:lpstr>DataEntry</vt:lpstr>
      <vt:lpstr>HOME</vt:lpstr>
      <vt:lpstr>NotePad</vt:lpstr>
      <vt:lpstr>SensitivityTables</vt:lpstr>
      <vt:lpstr>Summaries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CHUDLEIGH Fred</dc:creator>
  <cp:lastModifiedBy>WARD Jodie</cp:lastModifiedBy>
  <dcterms:created xsi:type="dcterms:W3CDTF">2011-05-19T09:54:32Z</dcterms:created>
  <dcterms:modified xsi:type="dcterms:W3CDTF">2019-10-29T01:22:37Z</dcterms:modified>
</cp:coreProperties>
</file>