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udlef\Documents\DCAP2\Response and recovery\"/>
    </mc:Choice>
  </mc:AlternateContent>
  <bookViews>
    <workbookView xWindow="0" yWindow="0" windowWidth="28800" windowHeight="12300"/>
  </bookViews>
  <sheets>
    <sheet name="Feed or sell PTIC cow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1" l="1"/>
  <c r="N19" i="1"/>
  <c r="P19" i="1"/>
  <c r="Q19" i="1"/>
  <c r="O19" i="1"/>
  <c r="G82" i="1" l="1"/>
  <c r="F82" i="1"/>
  <c r="P9" i="1" s="1"/>
  <c r="C82" i="1"/>
  <c r="M9" i="1" s="1"/>
  <c r="D82" i="1"/>
  <c r="B88" i="1"/>
  <c r="E82" i="1"/>
  <c r="C62" i="1"/>
  <c r="D61" i="1"/>
  <c r="C52" i="1"/>
  <c r="C60" i="1" s="1"/>
  <c r="C35" i="1"/>
  <c r="C36" i="1" s="1"/>
  <c r="K28" i="1"/>
  <c r="K29" i="1" s="1"/>
  <c r="C25" i="1"/>
  <c r="C27" i="1" s="1"/>
  <c r="C28" i="1" s="1"/>
  <c r="D24" i="1"/>
  <c r="C23" i="1"/>
  <c r="C54" i="1" s="1"/>
  <c r="M14" i="1"/>
  <c r="N14" i="1" s="1"/>
  <c r="O14" i="1" s="1"/>
  <c r="P14" i="1" s="1"/>
  <c r="Q14" i="1" s="1"/>
  <c r="O13" i="1"/>
  <c r="P13" i="1" s="1"/>
  <c r="Q13" i="1" s="1"/>
  <c r="M13" i="1"/>
  <c r="N13" i="1" s="1"/>
  <c r="C13" i="1"/>
  <c r="C14" i="1" s="1"/>
  <c r="M11" i="1"/>
  <c r="N11" i="1" s="1"/>
  <c r="O11" i="1" s="1"/>
  <c r="P11" i="1" s="1"/>
  <c r="O9" i="1"/>
  <c r="N9" i="1"/>
  <c r="K8" i="1"/>
  <c r="M7" i="1"/>
  <c r="N7" i="1" s="1"/>
  <c r="O7" i="1" s="1"/>
  <c r="P7" i="1" s="1"/>
  <c r="Q7" i="1" s="1"/>
  <c r="K6" i="1"/>
  <c r="K16" i="1" s="1"/>
  <c r="B89" i="1" l="1"/>
  <c r="Q9" i="1"/>
  <c r="B87" i="1"/>
  <c r="C30" i="1"/>
  <c r="C31" i="1" s="1"/>
  <c r="C37" i="1" s="1"/>
  <c r="C38" i="1" s="1"/>
  <c r="C42" i="1" s="1"/>
  <c r="M16" i="1"/>
  <c r="K10" i="1"/>
  <c r="C64" i="1"/>
  <c r="D71" i="1"/>
  <c r="D70" i="1"/>
  <c r="Q11" i="1"/>
  <c r="M8" i="1"/>
  <c r="M10" i="1" s="1"/>
  <c r="M6" i="1"/>
  <c r="N6" i="1" s="1"/>
  <c r="O6" i="1" s="1"/>
  <c r="P6" i="1" s="1"/>
  <c r="Q6" i="1" s="1"/>
  <c r="B86" i="1" l="1"/>
  <c r="B90" i="1"/>
  <c r="N8" i="1"/>
  <c r="C68" i="1"/>
  <c r="D68" i="1" s="1"/>
  <c r="M12" i="1"/>
  <c r="M15" i="1" s="1"/>
  <c r="N16" i="1"/>
  <c r="K12" i="1"/>
  <c r="K17" i="1" s="1"/>
  <c r="C47" i="1"/>
  <c r="D47" i="1" s="1"/>
  <c r="D42" i="1"/>
  <c r="F89" i="1" l="1"/>
  <c r="C88" i="1"/>
  <c r="F88" i="1"/>
  <c r="D88" i="1"/>
  <c r="G88" i="1"/>
  <c r="G89" i="1"/>
  <c r="F87" i="1"/>
  <c r="D87" i="1"/>
  <c r="C87" i="1"/>
  <c r="D89" i="1"/>
  <c r="G87" i="1"/>
  <c r="C89" i="1"/>
  <c r="B91" i="1"/>
  <c r="C90" i="1"/>
  <c r="D90" i="1"/>
  <c r="G90" i="1"/>
  <c r="F90" i="1"/>
  <c r="B85" i="1"/>
  <c r="G86" i="1"/>
  <c r="C86" i="1"/>
  <c r="F86" i="1"/>
  <c r="D86" i="1"/>
  <c r="K15" i="1"/>
  <c r="K18" i="1" s="1"/>
  <c r="C18" i="1" s="1"/>
  <c r="C19" i="1" s="1"/>
  <c r="C83" i="1"/>
  <c r="M18" i="1"/>
  <c r="D72" i="1"/>
  <c r="O8" i="1"/>
  <c r="N10" i="1"/>
  <c r="C69" i="1"/>
  <c r="M17" i="1"/>
  <c r="O16" i="1"/>
  <c r="F85" i="1" l="1"/>
  <c r="C85" i="1"/>
  <c r="G85" i="1"/>
  <c r="D85" i="1"/>
  <c r="C91" i="1"/>
  <c r="D91" i="1"/>
  <c r="G91" i="1"/>
  <c r="F91" i="1"/>
  <c r="D55" i="1"/>
  <c r="P16" i="1"/>
  <c r="C72" i="1"/>
  <c r="C46" i="1"/>
  <c r="D19" i="1"/>
  <c r="E83" i="1"/>
  <c r="N12" i="1"/>
  <c r="N17" i="1" s="1"/>
  <c r="P8" i="1"/>
  <c r="O10" i="1"/>
  <c r="N15" i="1" l="1"/>
  <c r="O12" i="1"/>
  <c r="O17" i="1" s="1"/>
  <c r="C48" i="1"/>
  <c r="D46" i="1"/>
  <c r="D48" i="1" s="1"/>
  <c r="D56" i="1" s="1"/>
  <c r="Q8" i="1"/>
  <c r="P10" i="1"/>
  <c r="Q16" i="1"/>
  <c r="O15" i="1" l="1"/>
  <c r="E88" i="1" s="1"/>
  <c r="E86" i="1"/>
  <c r="E85" i="1"/>
  <c r="O18" i="1"/>
  <c r="D83" i="1"/>
  <c r="N18" i="1"/>
  <c r="Q10" i="1"/>
  <c r="P12" i="1"/>
  <c r="P17" i="1" s="1"/>
  <c r="C56" i="1"/>
  <c r="D74" i="1"/>
  <c r="E87" i="1" l="1"/>
  <c r="E91" i="1"/>
  <c r="E89" i="1"/>
  <c r="E90" i="1"/>
  <c r="P15" i="1"/>
  <c r="Q12" i="1"/>
  <c r="Q17" i="1" s="1"/>
  <c r="P18" i="1" l="1"/>
  <c r="F83" i="1"/>
  <c r="Q15" i="1"/>
  <c r="G83" i="1" l="1"/>
  <c r="Q18" i="1"/>
</calcChain>
</file>

<file path=xl/sharedStrings.xml><?xml version="1.0" encoding="utf-8"?>
<sst xmlns="http://schemas.openxmlformats.org/spreadsheetml/2006/main" count="106" uniqueCount="100">
  <si>
    <t>Calculator for comparing drought feeding PTIC cows or selling them and then buying back cows and calves</t>
  </si>
  <si>
    <t>Enter data in yellow cells</t>
  </si>
  <si>
    <t>Calculate the value of the owned stock on farm</t>
  </si>
  <si>
    <t>Calculations for sensitivity test</t>
  </si>
  <si>
    <t>Per head or unit</t>
  </si>
  <si>
    <t>Total for the mob</t>
  </si>
  <si>
    <t>Cow weight in the paddock</t>
  </si>
  <si>
    <t xml:space="preserve">Property </t>
  </si>
  <si>
    <t>weight loss to get to sale yards or works</t>
  </si>
  <si>
    <t>Cattle description</t>
  </si>
  <si>
    <t>PTIC cows</t>
  </si>
  <si>
    <t>Cow weight at saleyards or works</t>
  </si>
  <si>
    <t>Sale price at yards or works ($ /kg live)</t>
  </si>
  <si>
    <t>No of head</t>
  </si>
  <si>
    <t>Gross sale price ($/head)</t>
  </si>
  <si>
    <t>Date that PTIC cows could be sold</t>
  </si>
  <si>
    <t>Commission &amp; insurance % on sales</t>
  </si>
  <si>
    <t>Date that cows and calves could be replaced</t>
  </si>
  <si>
    <t>Commission &amp; insurance ($/head)</t>
  </si>
  <si>
    <t>Days to replacement</t>
  </si>
  <si>
    <t>Transaction levy, yard dues etc</t>
  </si>
  <si>
    <t>Weeks weeks to replacement</t>
  </si>
  <si>
    <t>Transport cost ($/head)</t>
  </si>
  <si>
    <t>Cow value net of selling expenses</t>
  </si>
  <si>
    <t>Opening value</t>
  </si>
  <si>
    <t>Paddock weight</t>
  </si>
  <si>
    <t>Current liveweight of PTIC cows (kg)</t>
  </si>
  <si>
    <t>Selling cost ($ per kg)</t>
  </si>
  <si>
    <t>Expected sale price now ($/kg liveweight)</t>
  </si>
  <si>
    <t>Use box to the right to calculate $/kg value net of selling costs</t>
  </si>
  <si>
    <t xml:space="preserve">Net value in the paddock ($/kg) </t>
  </si>
  <si>
    <t>Current sale value ($/hd) on farm</t>
  </si>
  <si>
    <t>Treatment costs of holding PTIC cows</t>
  </si>
  <si>
    <t>Feeding cost calculator</t>
  </si>
  <si>
    <t>Transport cost per head calculator</t>
  </si>
  <si>
    <t>Number of PTIC cows to be fed</t>
  </si>
  <si>
    <t>Number of days to be fed</t>
  </si>
  <si>
    <t>weeks</t>
  </si>
  <si>
    <t>Number transported</t>
  </si>
  <si>
    <t xml:space="preserve"> Average body weight (kg live)</t>
  </si>
  <si>
    <t>Distance (Km)</t>
  </si>
  <si>
    <t>Supplement consumed (% of body weight)</t>
  </si>
  <si>
    <t>$ per Km</t>
  </si>
  <si>
    <t>Intake (kg /head /day)</t>
  </si>
  <si>
    <t>Rate on Truck</t>
  </si>
  <si>
    <t>Total intake of supplement (kg per head fed)</t>
  </si>
  <si>
    <t>Total</t>
  </si>
  <si>
    <t>Cost of supplement (per ton landed)</t>
  </si>
  <si>
    <t>Per head</t>
  </si>
  <si>
    <t>Total supplement fed (tons)</t>
  </si>
  <si>
    <t>Total supplement cost ($)</t>
  </si>
  <si>
    <t xml:space="preserve">Cost of feeding out </t>
  </si>
  <si>
    <t>Transport Loading Density Guide</t>
  </si>
  <si>
    <t>The supplement is fed out (times per week)</t>
  </si>
  <si>
    <t>Source for loading density: Kaus, Lapworth and Dunn "Marketing Cattle  to South-East Asia"</t>
  </si>
  <si>
    <t>Wages and fuel for 1 feeding out</t>
  </si>
  <si>
    <t>Maximum for lighter cattle = 44/deck</t>
  </si>
  <si>
    <t>times fed</t>
  </si>
  <si>
    <t>Average</t>
  </si>
  <si>
    <t>Head Per</t>
  </si>
  <si>
    <t xml:space="preserve">Total feeding out cost </t>
  </si>
  <si>
    <t>Liveweight</t>
  </si>
  <si>
    <t>12.2m deck</t>
  </si>
  <si>
    <t>Total supplement and feeding out cost</t>
  </si>
  <si>
    <t>Total supplement and feeding out cost (per head)</t>
  </si>
  <si>
    <t>Health costs if held and not sold ($/hd)</t>
  </si>
  <si>
    <t>Other supplement costs if held and not sold  ($/hd)</t>
  </si>
  <si>
    <t>Management costs if held and not sold ($/hd)</t>
  </si>
  <si>
    <t>Total treatment costs ($/hd)</t>
  </si>
  <si>
    <t>Opportunity cost of interest foregone in holding PTIC cows</t>
  </si>
  <si>
    <t>Interest rate (%)</t>
  </si>
  <si>
    <t>Interest cost - cattle  ($/hd)</t>
  </si>
  <si>
    <t>Interest cost - treatment costs ($/hd)</t>
  </si>
  <si>
    <t>Opportunity cost of interest ($/hd)</t>
  </si>
  <si>
    <t>Total cost of retaining cows and calves</t>
  </si>
  <si>
    <t xml:space="preserve">Weaning rate from retained PTIC breeders </t>
  </si>
  <si>
    <t>Number of cow and calf units held at the end of the period</t>
  </si>
  <si>
    <t>Mortality rate for retained cows</t>
  </si>
  <si>
    <t>PTIC empty cows at the end of the period</t>
  </si>
  <si>
    <t>Adjustment for value of PTIC empty cows</t>
  </si>
  <si>
    <t>Value /Cost of cow and calf units at the end of the period</t>
  </si>
  <si>
    <t>Expected cost of replacing cows and calves</t>
  </si>
  <si>
    <t>Number of cow and calf units to be purchased</t>
  </si>
  <si>
    <t>Total travel costs (total costs of finding stock)</t>
  </si>
  <si>
    <t>Travel costs per head</t>
  </si>
  <si>
    <t>Transport costs to get stock to the property</t>
  </si>
  <si>
    <t>Total transport costs</t>
  </si>
  <si>
    <t>Indiuction cost $/unit</t>
  </si>
  <si>
    <t>Expected purchase cost of cow and calf unit</t>
  </si>
  <si>
    <t>Total landed cost</t>
  </si>
  <si>
    <t>Gain (or loss) on holding and feeding</t>
  </si>
  <si>
    <t>Sensitivity to replacement cost for cow and calf unit and sale price for PTIC cows</t>
  </si>
  <si>
    <t>Expected sale price of PTIC cow</t>
  </si>
  <si>
    <t>per kg at the yards or works</t>
  </si>
  <si>
    <t>$ per head on farm</t>
  </si>
  <si>
    <t>Expected purchase price of replacement cow and calf unit</t>
  </si>
  <si>
    <t>Gain from holding and feeding PTIC cows</t>
  </si>
  <si>
    <t>NQ Gulf</t>
  </si>
  <si>
    <t>A positive number indicates it was better to hold the PTIC cows and feed them</t>
  </si>
  <si>
    <t xml:space="preserve"> This amount adjusts for the number of PTE cows that are found after mating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</si>
</sst>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.00_)"/>
    <numFmt numFmtId="165" formatCode="&quot;$&quot;#,##0.00_);\(&quot;$&quot;#,##0.00\)"/>
    <numFmt numFmtId="166" formatCode="0_)"/>
    <numFmt numFmtId="167" formatCode="&quot;$&quot;#,##0"/>
    <numFmt numFmtId="168" formatCode="d\ mmm\ yyyy"/>
    <numFmt numFmtId="169" formatCode="&quot;$&quot;#,##0.00"/>
    <numFmt numFmtId="170" formatCode="&quot;$&quot;#,##0_);[Red]\(&quot;$&quot;#,##0\)"/>
    <numFmt numFmtId="171" formatCode="&quot;$&quot;#,##0.00;[Red]&quot;$&quot;#,##0.00"/>
    <numFmt numFmtId="172" formatCode="&quot;$&quot;#,##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b/>
      <u/>
      <sz val="12"/>
      <name val="Arial"/>
      <family val="2"/>
    </font>
    <font>
      <sz val="12"/>
      <color indexed="24"/>
      <name val="Arial"/>
      <family val="2"/>
    </font>
    <font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0" fontId="4" fillId="0" borderId="0"/>
    <xf numFmtId="0" fontId="10" fillId="0" borderId="0"/>
    <xf numFmtId="0" fontId="11" fillId="0" borderId="0"/>
    <xf numFmtId="0" fontId="11" fillId="0" borderId="0"/>
  </cellStyleXfs>
  <cellXfs count="119">
    <xf numFmtId="0" fontId="0" fillId="0" borderId="0" xfId="0"/>
    <xf numFmtId="164" fontId="3" fillId="0" borderId="0" xfId="3" applyFont="1" applyAlignment="1" applyProtection="1">
      <alignment horizontal="left"/>
      <protection locked="0"/>
    </xf>
    <xf numFmtId="164" fontId="3" fillId="0" borderId="0" xfId="3" applyFont="1" applyAlignment="1" applyProtection="1">
      <alignment horizontal="center"/>
      <protection locked="0"/>
    </xf>
    <xf numFmtId="164" fontId="4" fillId="0" borderId="0" xfId="3" applyFont="1" applyAlignment="1"/>
    <xf numFmtId="164" fontId="3" fillId="2" borderId="0" xfId="3" applyFont="1" applyFill="1" applyAlignment="1"/>
    <xf numFmtId="164" fontId="4" fillId="0" borderId="0" xfId="3" applyFont="1" applyAlignment="1">
      <alignment horizontal="right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4" fillId="0" borderId="0" xfId="0" applyFont="1" applyAlignment="1"/>
    <xf numFmtId="164" fontId="3" fillId="0" borderId="0" xfId="3" applyFont="1" applyAlignment="1">
      <alignment horizontal="center"/>
    </xf>
    <xf numFmtId="0" fontId="4" fillId="0" borderId="1" xfId="0" applyFont="1" applyBorder="1" applyAlignment="1" applyProtection="1">
      <alignment horizontal="left"/>
    </xf>
    <xf numFmtId="3" fontId="4" fillId="4" borderId="3" xfId="4" applyNumberFormat="1" applyFont="1" applyFill="1" applyBorder="1" applyAlignment="1">
      <alignment horizontal="center"/>
    </xf>
    <xf numFmtId="164" fontId="4" fillId="0" borderId="0" xfId="3" applyFont="1" applyAlignment="1" applyProtection="1">
      <alignment horizontal="left"/>
      <protection locked="0"/>
    </xf>
    <xf numFmtId="164" fontId="5" fillId="2" borderId="0" xfId="3" applyFont="1" applyFill="1" applyAlignment="1">
      <alignment horizontal="left" vertical="top"/>
    </xf>
    <xf numFmtId="10" fontId="4" fillId="2" borderId="4" xfId="0" applyNumberFormat="1" applyFont="1" applyFill="1" applyBorder="1" applyAlignment="1" applyProtection="1">
      <alignment horizontal="center"/>
      <protection locked="0"/>
    </xf>
    <xf numFmtId="0" fontId="6" fillId="5" borderId="0" xfId="0" applyFont="1" applyFill="1" applyAlignment="1">
      <alignment horizontal="left"/>
    </xf>
    <xf numFmtId="10" fontId="4" fillId="4" borderId="4" xfId="0" applyNumberFormat="1" applyFont="1" applyFill="1" applyBorder="1" applyAlignment="1" applyProtection="1">
      <alignment horizontal="center"/>
      <protection locked="0"/>
    </xf>
    <xf numFmtId="164" fontId="5" fillId="2" borderId="0" xfId="3" applyFont="1" applyFill="1" applyAlignment="1">
      <alignment horizontal="left"/>
    </xf>
    <xf numFmtId="165" fontId="4" fillId="2" borderId="3" xfId="0" applyNumberFormat="1" applyFont="1" applyFill="1" applyBorder="1" applyAlignment="1" applyProtection="1">
      <alignment horizontal="center"/>
      <protection locked="0"/>
    </xf>
    <xf numFmtId="165" fontId="4" fillId="6" borderId="3" xfId="0" applyNumberFormat="1" applyFont="1" applyFill="1" applyBorder="1" applyAlignment="1" applyProtection="1">
      <alignment horizontal="center"/>
      <protection locked="0"/>
    </xf>
    <xf numFmtId="1" fontId="4" fillId="2" borderId="0" xfId="3" applyNumberFormat="1" applyFont="1" applyFill="1" applyAlignment="1" applyProtection="1">
      <alignment horizontal="right"/>
      <protection locked="0"/>
    </xf>
    <xf numFmtId="166" fontId="4" fillId="0" borderId="0" xfId="3" applyNumberFormat="1" applyFont="1" applyAlignment="1" applyProtection="1">
      <protection locked="0"/>
    </xf>
    <xf numFmtId="167" fontId="4" fillId="4" borderId="3" xfId="4" applyNumberFormat="1" applyFont="1" applyFill="1" applyBorder="1" applyAlignment="1">
      <alignment horizontal="center"/>
    </xf>
    <xf numFmtId="169" fontId="4" fillId="4" borderId="3" xfId="4" applyNumberFormat="1" applyFont="1" applyFill="1" applyBorder="1" applyAlignment="1">
      <alignment horizontal="center"/>
    </xf>
    <xf numFmtId="164" fontId="4" fillId="0" borderId="0" xfId="3" applyFont="1" applyFill="1" applyAlignment="1" applyProtection="1">
      <alignment horizontal="left"/>
      <protection locked="0"/>
    </xf>
    <xf numFmtId="1" fontId="4" fillId="0" borderId="0" xfId="3" applyNumberFormat="1" applyFont="1" applyFill="1" applyAlignment="1" applyProtection="1">
      <alignment horizontal="right"/>
      <protection locked="0"/>
    </xf>
    <xf numFmtId="165" fontId="4" fillId="4" borderId="3" xfId="0" applyNumberFormat="1" applyFont="1" applyFill="1" applyBorder="1" applyAlignment="1" applyProtection="1">
      <alignment horizontal="center"/>
      <protection locked="0"/>
    </xf>
    <xf numFmtId="1" fontId="5" fillId="0" borderId="0" xfId="3" applyNumberFormat="1" applyFont="1" applyAlignment="1" applyProtection="1">
      <alignment horizontal="right"/>
      <protection locked="0"/>
    </xf>
    <xf numFmtId="164" fontId="7" fillId="0" borderId="0" xfId="3" applyFont="1" applyAlignment="1" applyProtection="1">
      <alignment horizontal="left"/>
      <protection locked="0"/>
    </xf>
    <xf numFmtId="169" fontId="4" fillId="0" borderId="0" xfId="3" applyNumberFormat="1" applyFont="1" applyFill="1" applyAlignment="1" applyProtection="1">
      <alignment horizontal="right"/>
      <protection locked="0"/>
    </xf>
    <xf numFmtId="169" fontId="4" fillId="0" borderId="0" xfId="3" applyNumberFormat="1" applyFont="1" applyAlignment="1" applyProtection="1">
      <alignment horizontal="right"/>
      <protection locked="0"/>
    </xf>
    <xf numFmtId="169" fontId="3" fillId="0" borderId="5" xfId="3" applyNumberFormat="1" applyFont="1" applyBorder="1" applyAlignment="1" applyProtection="1">
      <alignment horizontal="right"/>
      <protection locked="0"/>
    </xf>
    <xf numFmtId="167" fontId="3" fillId="0" borderId="5" xfId="3" applyNumberFormat="1" applyFont="1" applyBorder="1" applyAlignment="1" applyProtection="1">
      <alignment horizontal="right"/>
      <protection locked="0"/>
    </xf>
    <xf numFmtId="0" fontId="8" fillId="0" borderId="0" xfId="0" applyFont="1"/>
    <xf numFmtId="0" fontId="3" fillId="0" borderId="0" xfId="0" applyFont="1"/>
    <xf numFmtId="0" fontId="4" fillId="0" borderId="0" xfId="0" applyFont="1" applyFill="1" applyBorder="1" applyProtection="1"/>
    <xf numFmtId="166" fontId="4" fillId="0" borderId="0" xfId="3" applyNumberFormat="1" applyFont="1" applyAlignment="1"/>
    <xf numFmtId="0" fontId="4" fillId="0" borderId="0" xfId="4" applyFont="1" applyAlignment="1"/>
    <xf numFmtId="166" fontId="4" fillId="0" borderId="0" xfId="3" applyNumberFormat="1" applyFont="1" applyAlignment="1">
      <alignment horizontal="right"/>
    </xf>
    <xf numFmtId="0" fontId="4" fillId="0" borderId="0" xfId="0" applyFont="1" applyAlignment="1" applyProtection="1"/>
    <xf numFmtId="1" fontId="4" fillId="0" borderId="0" xfId="0" applyNumberFormat="1" applyFont="1" applyFill="1" applyBorder="1" applyProtection="1"/>
    <xf numFmtId="170" fontId="4" fillId="0" borderId="0" xfId="0" applyNumberFormat="1" applyFont="1" applyFill="1" applyBorder="1" applyProtection="1"/>
    <xf numFmtId="0" fontId="9" fillId="0" borderId="0" xfId="0" applyFont="1" applyFill="1" applyBorder="1" applyProtection="1"/>
    <xf numFmtId="0" fontId="7" fillId="0" borderId="0" xfId="5" applyFont="1" applyAlignment="1" applyProtection="1"/>
    <xf numFmtId="0" fontId="4" fillId="0" borderId="0" xfId="6" applyFont="1" applyAlignment="1" applyProtection="1"/>
    <xf numFmtId="0" fontId="4" fillId="0" borderId="0" xfId="7" applyFont="1" applyAlignment="1"/>
    <xf numFmtId="0" fontId="4" fillId="0" borderId="0" xfId="7" applyFont="1" applyAlignment="1">
      <alignment horizontal="left"/>
    </xf>
    <xf numFmtId="0" fontId="3" fillId="8" borderId="4" xfId="7" applyFont="1" applyFill="1" applyBorder="1" applyAlignment="1">
      <alignment horizontal="center"/>
    </xf>
    <xf numFmtId="0" fontId="3" fillId="8" borderId="6" xfId="7" applyFont="1" applyFill="1" applyBorder="1" applyAlignment="1">
      <alignment horizontal="center"/>
    </xf>
    <xf numFmtId="170" fontId="3" fillId="0" borderId="7" xfId="0" applyNumberFormat="1" applyFont="1" applyFill="1" applyBorder="1" applyAlignment="1" applyProtection="1">
      <alignment horizontal="right"/>
    </xf>
    <xf numFmtId="0" fontId="4" fillId="0" borderId="6" xfId="7" applyFont="1" applyBorder="1" applyAlignment="1">
      <alignment horizontal="center"/>
    </xf>
    <xf numFmtId="171" fontId="4" fillId="0" borderId="0" xfId="0" applyNumberFormat="1" applyFont="1" applyFill="1" applyBorder="1" applyProtection="1"/>
    <xf numFmtId="0" fontId="4" fillId="0" borderId="3" xfId="7" applyFont="1" applyBorder="1" applyAlignment="1">
      <alignment horizontal="center"/>
    </xf>
    <xf numFmtId="169" fontId="3" fillId="0" borderId="8" xfId="3" applyNumberFormat="1" applyFont="1" applyBorder="1" applyAlignment="1" applyProtection="1">
      <alignment horizontal="right"/>
      <protection locked="0"/>
    </xf>
    <xf numFmtId="167" fontId="4" fillId="0" borderId="0" xfId="3" applyNumberFormat="1" applyFont="1" applyAlignment="1" applyProtection="1">
      <alignment horizontal="right"/>
      <protection locked="0"/>
    </xf>
    <xf numFmtId="2" fontId="4" fillId="0" borderId="0" xfId="3" applyNumberFormat="1" applyFont="1" applyAlignment="1" applyProtection="1">
      <alignment horizontal="right"/>
      <protection locked="0"/>
    </xf>
    <xf numFmtId="3" fontId="4" fillId="0" borderId="0" xfId="3" applyNumberFormat="1" applyFont="1" applyAlignment="1" applyProtection="1">
      <alignment horizontal="right"/>
      <protection locked="0"/>
    </xf>
    <xf numFmtId="164" fontId="4" fillId="4" borderId="0" xfId="3" applyFont="1" applyFill="1" applyAlignment="1"/>
    <xf numFmtId="169" fontId="4" fillId="0" borderId="0" xfId="3" applyNumberFormat="1" applyFont="1" applyFill="1" applyAlignment="1">
      <alignment horizontal="right"/>
    </xf>
    <xf numFmtId="164" fontId="4" fillId="4" borderId="9" xfId="3" applyFont="1" applyFill="1" applyBorder="1" applyAlignment="1"/>
    <xf numFmtId="169" fontId="4" fillId="0" borderId="9" xfId="3" applyNumberFormat="1" applyFont="1" applyFill="1" applyBorder="1" applyAlignment="1">
      <alignment horizontal="right"/>
    </xf>
    <xf numFmtId="172" fontId="4" fillId="0" borderId="9" xfId="3" applyNumberFormat="1" applyFont="1" applyFill="1" applyBorder="1" applyAlignment="1">
      <alignment horizontal="right"/>
    </xf>
    <xf numFmtId="164" fontId="3" fillId="4" borderId="0" xfId="3" applyFont="1" applyFill="1" applyAlignment="1"/>
    <xf numFmtId="169" fontId="3" fillId="0" borderId="0" xfId="3" applyNumberFormat="1" applyFont="1" applyFill="1" applyAlignment="1">
      <alignment horizontal="right"/>
    </xf>
    <xf numFmtId="164" fontId="7" fillId="0" borderId="10" xfId="3" applyFont="1" applyBorder="1" applyAlignment="1" applyProtection="1">
      <alignment horizontal="left"/>
      <protection locked="0"/>
    </xf>
    <xf numFmtId="164" fontId="4" fillId="0" borderId="11" xfId="3" applyFont="1" applyBorder="1" applyAlignment="1"/>
    <xf numFmtId="164" fontId="4" fillId="0" borderId="12" xfId="3" applyFont="1" applyBorder="1" applyAlignment="1"/>
    <xf numFmtId="164" fontId="4" fillId="0" borderId="13" xfId="3" applyFont="1" applyBorder="1" applyAlignment="1"/>
    <xf numFmtId="166" fontId="4" fillId="0" borderId="0" xfId="3" applyNumberFormat="1" applyFont="1" applyBorder="1" applyAlignment="1"/>
    <xf numFmtId="164" fontId="4" fillId="0" borderId="14" xfId="3" applyFont="1" applyBorder="1" applyAlignment="1"/>
    <xf numFmtId="164" fontId="4" fillId="0" borderId="13" xfId="3" applyFont="1" applyBorder="1" applyAlignment="1" applyProtection="1">
      <alignment horizontal="left"/>
      <protection locked="0"/>
    </xf>
    <xf numFmtId="167" fontId="3" fillId="0" borderId="14" xfId="3" applyNumberFormat="1" applyFont="1" applyBorder="1" applyAlignment="1" applyProtection="1">
      <alignment horizontal="right"/>
      <protection locked="0"/>
    </xf>
    <xf numFmtId="169" fontId="4" fillId="0" borderId="0" xfId="3" applyNumberFormat="1" applyFont="1" applyBorder="1" applyAlignment="1" applyProtection="1">
      <alignment horizontal="right"/>
      <protection locked="0"/>
    </xf>
    <xf numFmtId="167" fontId="4" fillId="0" borderId="14" xfId="3" applyNumberFormat="1" applyFont="1" applyBorder="1" applyAlignment="1" applyProtection="1">
      <alignment horizontal="right"/>
      <protection locked="0"/>
    </xf>
    <xf numFmtId="164" fontId="9" fillId="0" borderId="13" xfId="3" applyFont="1" applyBorder="1" applyAlignment="1"/>
    <xf numFmtId="164" fontId="4" fillId="0" borderId="0" xfId="3" applyFont="1" applyBorder="1" applyAlignment="1"/>
    <xf numFmtId="167" fontId="4" fillId="0" borderId="0" xfId="3" applyNumberFormat="1" applyFont="1" applyBorder="1" applyAlignment="1" applyProtection="1">
      <alignment horizontal="right"/>
      <protection locked="0"/>
    </xf>
    <xf numFmtId="164" fontId="4" fillId="0" borderId="15" xfId="3" applyFont="1" applyBorder="1" applyAlignment="1"/>
    <xf numFmtId="167" fontId="3" fillId="0" borderId="2" xfId="3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0" xfId="0" applyFont="1"/>
    <xf numFmtId="169" fontId="4" fillId="6" borderId="0" xfId="3" applyNumberFormat="1" applyFont="1" applyFill="1" applyBorder="1" applyAlignment="1" applyProtection="1">
      <alignment horizontal="right"/>
      <protection locked="0"/>
    </xf>
    <xf numFmtId="169" fontId="4" fillId="0" borderId="0" xfId="0" applyNumberFormat="1" applyFont="1"/>
    <xf numFmtId="167" fontId="4" fillId="0" borderId="0" xfId="0" applyNumberFormat="1" applyFont="1" applyAlignment="1">
      <alignment horizontal="center"/>
    </xf>
    <xf numFmtId="167" fontId="4" fillId="6" borderId="0" xfId="0" applyNumberFormat="1" applyFont="1" applyFill="1" applyAlignment="1">
      <alignment horizontal="center"/>
    </xf>
    <xf numFmtId="164" fontId="4" fillId="0" borderId="0" xfId="3" applyFont="1" applyFill="1" applyAlignment="1"/>
    <xf numFmtId="164" fontId="4" fillId="0" borderId="0" xfId="3" applyFont="1" applyFill="1" applyAlignment="1">
      <alignment horizontal="right"/>
    </xf>
    <xf numFmtId="164" fontId="4" fillId="0" borderId="0" xfId="3" applyFont="1" applyAlignment="1">
      <alignment horizontal="left"/>
    </xf>
    <xf numFmtId="3" fontId="4" fillId="2" borderId="3" xfId="4" applyNumberFormat="1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8" fontId="4" fillId="2" borderId="3" xfId="4" applyNumberFormat="1" applyFont="1" applyFill="1" applyBorder="1" applyAlignment="1">
      <alignment horizontal="center"/>
    </xf>
    <xf numFmtId="0" fontId="12" fillId="0" borderId="0" xfId="0" applyFont="1"/>
    <xf numFmtId="6" fontId="4" fillId="0" borderId="10" xfId="0" applyNumberFormat="1" applyFont="1" applyBorder="1"/>
    <xf numFmtId="6" fontId="4" fillId="0" borderId="4" xfId="0" applyNumberFormat="1" applyFont="1" applyBorder="1"/>
    <xf numFmtId="6" fontId="4" fillId="0" borderId="13" xfId="0" applyNumberFormat="1" applyFont="1" applyBorder="1"/>
    <xf numFmtId="6" fontId="4" fillId="0" borderId="16" xfId="0" applyNumberFormat="1" applyFont="1" applyBorder="1"/>
    <xf numFmtId="6" fontId="4" fillId="6" borderId="13" xfId="0" applyNumberFormat="1" applyFont="1" applyFill="1" applyBorder="1"/>
    <xf numFmtId="6" fontId="4" fillId="4" borderId="13" xfId="0" applyNumberFormat="1" applyFont="1" applyFill="1" applyBorder="1"/>
    <xf numFmtId="6" fontId="4" fillId="4" borderId="16" xfId="0" applyNumberFormat="1" applyFont="1" applyFill="1" applyBorder="1"/>
    <xf numFmtId="6" fontId="4" fillId="0" borderId="15" xfId="0" applyNumberFormat="1" applyFont="1" applyBorder="1"/>
    <xf numFmtId="6" fontId="4" fillId="4" borderId="15" xfId="0" applyNumberFormat="1" applyFont="1" applyFill="1" applyBorder="1"/>
    <xf numFmtId="6" fontId="4" fillId="4" borderId="6" xfId="0" applyNumberFormat="1" applyFont="1" applyFill="1" applyBorder="1"/>
    <xf numFmtId="164" fontId="4" fillId="0" borderId="0" xfId="3" applyFont="1" applyAlignment="1">
      <alignment horizontal="center"/>
    </xf>
    <xf numFmtId="167" fontId="4" fillId="0" borderId="0" xfId="3" applyNumberFormat="1" applyFont="1" applyAlignment="1">
      <alignment horizontal="center"/>
    </xf>
    <xf numFmtId="1" fontId="13" fillId="2" borderId="0" xfId="3" applyNumberFormat="1" applyFont="1" applyFill="1" applyAlignment="1" applyProtection="1">
      <alignment horizontal="right"/>
      <protection locked="0"/>
    </xf>
    <xf numFmtId="168" fontId="13" fillId="2" borderId="0" xfId="3" applyNumberFormat="1" applyFont="1" applyFill="1" applyAlignment="1" applyProtection="1">
      <alignment horizontal="right"/>
      <protection locked="0"/>
    </xf>
    <xf numFmtId="10" fontId="13" fillId="7" borderId="0" xfId="0" applyNumberFormat="1" applyFont="1" applyFill="1" applyBorder="1" applyProtection="1"/>
    <xf numFmtId="0" fontId="13" fillId="7" borderId="0" xfId="0" applyFont="1" applyFill="1" applyBorder="1" applyAlignment="1" applyProtection="1">
      <alignment horizontal="center"/>
    </xf>
    <xf numFmtId="170" fontId="13" fillId="7" borderId="0" xfId="0" applyNumberFormat="1" applyFont="1" applyFill="1" applyBorder="1" applyAlignment="1" applyProtection="1">
      <alignment horizontal="center"/>
    </xf>
    <xf numFmtId="169" fontId="13" fillId="2" borderId="0" xfId="1" applyNumberFormat="1" applyFont="1" applyFill="1" applyAlignment="1" applyProtection="1">
      <alignment horizontal="right"/>
      <protection locked="0"/>
    </xf>
    <xf numFmtId="10" fontId="13" fillId="2" borderId="0" xfId="2" applyNumberFormat="1" applyFont="1" applyFill="1" applyAlignment="1" applyProtection="1">
      <alignment horizontal="right"/>
      <protection locked="0"/>
    </xf>
    <xf numFmtId="10" fontId="13" fillId="2" borderId="0" xfId="0" applyNumberFormat="1" applyFont="1" applyFill="1" applyBorder="1" applyProtection="1">
      <protection locked="0"/>
    </xf>
    <xf numFmtId="169" fontId="13" fillId="2" borderId="0" xfId="1" applyNumberFormat="1" applyFont="1" applyFill="1" applyBorder="1" applyAlignment="1" applyProtection="1">
      <alignment horizontal="right"/>
      <protection locked="0"/>
    </xf>
    <xf numFmtId="166" fontId="13" fillId="7" borderId="0" xfId="3" applyNumberFormat="1" applyFont="1" applyFill="1" applyBorder="1" applyAlignment="1">
      <alignment horizontal="center"/>
    </xf>
    <xf numFmtId="169" fontId="13" fillId="2" borderId="0" xfId="1" applyNumberFormat="1" applyFont="1" applyFill="1" applyBorder="1" applyAlignment="1" applyProtection="1">
      <alignment horizontal="center"/>
      <protection locked="0"/>
    </xf>
    <xf numFmtId="167" fontId="13" fillId="2" borderId="0" xfId="1" applyNumberFormat="1" applyFont="1" applyFill="1" applyBorder="1" applyAlignment="1" applyProtection="1">
      <alignment horizontal="right"/>
      <protection locked="0"/>
    </xf>
    <xf numFmtId="169" fontId="14" fillId="0" borderId="8" xfId="3" applyNumberFormat="1" applyFont="1" applyBorder="1" applyAlignment="1" applyProtection="1">
      <alignment horizontal="right"/>
      <protection locked="0"/>
    </xf>
    <xf numFmtId="0" fontId="14" fillId="7" borderId="0" xfId="0" applyFont="1" applyFill="1" applyBorder="1" applyProtection="1"/>
    <xf numFmtId="170" fontId="14" fillId="7" borderId="0" xfId="0" applyNumberFormat="1" applyFont="1" applyFill="1" applyBorder="1" applyProtection="1"/>
  </cellXfs>
  <cellStyles count="8">
    <cellStyle name="Arial  - Style1" xfId="6"/>
    <cellStyle name="Bold A - Style3" xfId="5"/>
    <cellStyle name="Currency" xfId="1" builtinId="4"/>
    <cellStyle name="Normal" xfId="0" builtinId="0"/>
    <cellStyle name="Normal 2" xfId="7"/>
    <cellStyle name="Normal 3" xfId="4"/>
    <cellStyle name="Normal_AGIST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47"/>
  <sheetViews>
    <sheetView showGridLines="0" tabSelected="1" topLeftCell="A10" zoomScale="75" zoomScaleNormal="75" workbookViewId="0">
      <selection activeCell="C42" sqref="C42"/>
    </sheetView>
  </sheetViews>
  <sheetFormatPr defaultColWidth="13.28515625" defaultRowHeight="15" x14ac:dyDescent="0.2"/>
  <cols>
    <col min="1" max="1" width="13.28515625" style="3"/>
    <col min="2" max="2" width="69.7109375" style="3" customWidth="1"/>
    <col min="3" max="3" width="21.85546875" style="5" customWidth="1"/>
    <col min="4" max="4" width="18.28515625" style="3" customWidth="1"/>
    <col min="5" max="5" width="18.42578125" style="3" customWidth="1"/>
    <col min="6" max="6" width="13.140625" style="3" bestFit="1" customWidth="1"/>
    <col min="7" max="7" width="13.7109375" style="3" customWidth="1"/>
    <col min="8" max="8" width="13.28515625" style="3"/>
    <col min="9" max="9" width="17.7109375" style="3" customWidth="1"/>
    <col min="10" max="10" width="44.85546875" style="3" customWidth="1"/>
    <col min="11" max="11" width="18.7109375" style="3" customWidth="1"/>
    <col min="12" max="12" width="15.42578125" style="3" bestFit="1" customWidth="1"/>
    <col min="13" max="13" width="14.28515625" style="3" customWidth="1"/>
    <col min="14" max="17" width="13.85546875" style="3" bestFit="1" customWidth="1"/>
    <col min="18" max="16384" width="13.28515625" style="3"/>
  </cols>
  <sheetData>
    <row r="2" spans="2:18" ht="15.75" x14ac:dyDescent="0.25">
      <c r="B2" s="1" t="s">
        <v>0</v>
      </c>
      <c r="C2" s="2"/>
      <c r="D2" s="2"/>
      <c r="E2" s="2"/>
      <c r="F2" s="2"/>
    </row>
    <row r="3" spans="2:18" ht="15.75" x14ac:dyDescent="0.25">
      <c r="B3" s="2"/>
      <c r="C3" s="2"/>
      <c r="D3" s="2"/>
      <c r="E3" s="2"/>
      <c r="F3" s="2"/>
    </row>
    <row r="4" spans="2:18" ht="15.75" x14ac:dyDescent="0.25">
      <c r="B4" s="4" t="s">
        <v>1</v>
      </c>
      <c r="J4" s="6" t="s">
        <v>2</v>
      </c>
      <c r="K4" s="7"/>
      <c r="M4" s="3" t="s">
        <v>3</v>
      </c>
    </row>
    <row r="5" spans="2:18" ht="15.75" x14ac:dyDescent="0.25">
      <c r="B5" s="2"/>
      <c r="C5" s="2"/>
      <c r="D5" s="2"/>
      <c r="E5" s="2"/>
      <c r="F5" s="2"/>
      <c r="J5" s="8"/>
      <c r="K5" s="8"/>
    </row>
    <row r="6" spans="2:18" ht="15.75" x14ac:dyDescent="0.25">
      <c r="C6" s="9" t="s">
        <v>4</v>
      </c>
      <c r="D6" s="9" t="s">
        <v>5</v>
      </c>
      <c r="J6" s="10" t="s">
        <v>6</v>
      </c>
      <c r="K6" s="11">
        <f>C17</f>
        <v>450</v>
      </c>
      <c r="M6" s="11">
        <f>K6</f>
        <v>450</v>
      </c>
      <c r="N6" s="11">
        <f>M6</f>
        <v>450</v>
      </c>
      <c r="O6" s="11">
        <f t="shared" ref="O6:Q8" si="0">N6</f>
        <v>450</v>
      </c>
      <c r="P6" s="11">
        <f t="shared" si="0"/>
        <v>450</v>
      </c>
      <c r="Q6" s="11">
        <f t="shared" si="0"/>
        <v>450</v>
      </c>
      <c r="R6" s="91"/>
    </row>
    <row r="7" spans="2:18" x14ac:dyDescent="0.2">
      <c r="B7" s="12" t="s">
        <v>7</v>
      </c>
      <c r="C7" s="13" t="s">
        <v>97</v>
      </c>
      <c r="D7" s="91"/>
      <c r="J7" s="10" t="s">
        <v>8</v>
      </c>
      <c r="K7" s="14">
        <v>0.05</v>
      </c>
      <c r="L7" s="15"/>
      <c r="M7" s="16">
        <f>K7</f>
        <v>0.05</v>
      </c>
      <c r="N7" s="16">
        <f>M7</f>
        <v>0.05</v>
      </c>
      <c r="O7" s="16">
        <f t="shared" si="0"/>
        <v>0.05</v>
      </c>
      <c r="P7" s="16">
        <f t="shared" si="0"/>
        <v>0.05</v>
      </c>
      <c r="Q7" s="16">
        <f t="shared" si="0"/>
        <v>0.05</v>
      </c>
      <c r="R7" s="91"/>
    </row>
    <row r="8" spans="2:18" x14ac:dyDescent="0.2">
      <c r="B8" s="12" t="s">
        <v>9</v>
      </c>
      <c r="C8" s="17" t="s">
        <v>10</v>
      </c>
      <c r="D8" s="91"/>
      <c r="J8" s="10" t="s">
        <v>11</v>
      </c>
      <c r="K8" s="11">
        <f t="shared" ref="K8" si="1">K6*(1-K7)</f>
        <v>427.5</v>
      </c>
      <c r="L8" s="15"/>
      <c r="M8" s="11">
        <f>K8</f>
        <v>427.5</v>
      </c>
      <c r="N8" s="11">
        <f>M8</f>
        <v>427.5</v>
      </c>
      <c r="O8" s="11">
        <f t="shared" si="0"/>
        <v>427.5</v>
      </c>
      <c r="P8" s="11">
        <f t="shared" si="0"/>
        <v>427.5</v>
      </c>
      <c r="Q8" s="11">
        <f t="shared" si="0"/>
        <v>427.5</v>
      </c>
      <c r="R8" s="91"/>
    </row>
    <row r="9" spans="2:18" x14ac:dyDescent="0.2">
      <c r="J9" s="10" t="s">
        <v>12</v>
      </c>
      <c r="K9" s="18">
        <v>2</v>
      </c>
      <c r="L9" s="15"/>
      <c r="M9" s="19">
        <f>C82</f>
        <v>1.6</v>
      </c>
      <c r="N9" s="19">
        <f>D82</f>
        <v>1.8</v>
      </c>
      <c r="O9" s="19">
        <f t="shared" ref="O9:Q9" si="2">E82</f>
        <v>2</v>
      </c>
      <c r="P9" s="19">
        <f t="shared" si="2"/>
        <v>2.2000000000000002</v>
      </c>
      <c r="Q9" s="19">
        <f t="shared" si="2"/>
        <v>2.4000000000000004</v>
      </c>
      <c r="R9" s="91"/>
    </row>
    <row r="10" spans="2:18" x14ac:dyDescent="0.2">
      <c r="B10" s="12" t="s">
        <v>13</v>
      </c>
      <c r="C10" s="104">
        <v>500</v>
      </c>
      <c r="D10" s="12"/>
      <c r="F10" s="21"/>
      <c r="G10" s="12"/>
      <c r="J10" s="10" t="s">
        <v>14</v>
      </c>
      <c r="K10" s="22">
        <f t="shared" ref="K10:Q10" si="3">K9*K8</f>
        <v>855</v>
      </c>
      <c r="L10" s="15"/>
      <c r="M10" s="22">
        <f t="shared" si="3"/>
        <v>684</v>
      </c>
      <c r="N10" s="22">
        <f t="shared" si="3"/>
        <v>769.5</v>
      </c>
      <c r="O10" s="22">
        <f t="shared" si="3"/>
        <v>855</v>
      </c>
      <c r="P10" s="22">
        <f t="shared" si="3"/>
        <v>940.50000000000011</v>
      </c>
      <c r="Q10" s="22">
        <f t="shared" si="3"/>
        <v>1026.0000000000002</v>
      </c>
      <c r="R10" s="91"/>
    </row>
    <row r="11" spans="2:18" x14ac:dyDescent="0.2">
      <c r="B11" s="12" t="s">
        <v>15</v>
      </c>
      <c r="C11" s="105">
        <v>43586</v>
      </c>
      <c r="G11" s="12"/>
      <c r="J11" s="10" t="s">
        <v>16</v>
      </c>
      <c r="K11" s="14">
        <v>3.5000000000000003E-2</v>
      </c>
      <c r="L11" s="15"/>
      <c r="M11" s="16">
        <f>K11</f>
        <v>3.5000000000000003E-2</v>
      </c>
      <c r="N11" s="16">
        <f>M11</f>
        <v>3.5000000000000003E-2</v>
      </c>
      <c r="O11" s="16">
        <f t="shared" ref="O11:Q11" si="4">N11</f>
        <v>3.5000000000000003E-2</v>
      </c>
      <c r="P11" s="16">
        <f t="shared" si="4"/>
        <v>3.5000000000000003E-2</v>
      </c>
      <c r="Q11" s="16">
        <f t="shared" si="4"/>
        <v>3.5000000000000003E-2</v>
      </c>
      <c r="R11" s="91"/>
    </row>
    <row r="12" spans="2:18" x14ac:dyDescent="0.2">
      <c r="B12" s="12" t="s">
        <v>17</v>
      </c>
      <c r="C12" s="105">
        <v>43951</v>
      </c>
      <c r="G12" s="12"/>
      <c r="J12" s="10" t="s">
        <v>18</v>
      </c>
      <c r="K12" s="23">
        <f t="shared" ref="K12:Q12" si="5">K11*K10</f>
        <v>29.925000000000004</v>
      </c>
      <c r="L12" s="15"/>
      <c r="M12" s="23">
        <f t="shared" si="5"/>
        <v>23.94</v>
      </c>
      <c r="N12" s="23">
        <f t="shared" si="5"/>
        <v>26.932500000000001</v>
      </c>
      <c r="O12" s="23">
        <f t="shared" si="5"/>
        <v>29.925000000000004</v>
      </c>
      <c r="P12" s="23">
        <f t="shared" si="5"/>
        <v>32.917500000000004</v>
      </c>
      <c r="Q12" s="23">
        <f t="shared" si="5"/>
        <v>35.910000000000011</v>
      </c>
      <c r="R12" s="91"/>
    </row>
    <row r="13" spans="2:18" x14ac:dyDescent="0.2">
      <c r="B13" s="24" t="s">
        <v>19</v>
      </c>
      <c r="C13" s="25">
        <f>C12-C11</f>
        <v>365</v>
      </c>
      <c r="D13" s="24"/>
      <c r="F13" s="25"/>
      <c r="G13" s="12"/>
      <c r="J13" s="10" t="s">
        <v>20</v>
      </c>
      <c r="K13" s="18">
        <v>15</v>
      </c>
      <c r="L13" s="15"/>
      <c r="M13" s="26">
        <f>K13</f>
        <v>15</v>
      </c>
      <c r="N13" s="26">
        <f>M13</f>
        <v>15</v>
      </c>
      <c r="O13" s="26">
        <f t="shared" ref="O13:Q14" si="6">N13</f>
        <v>15</v>
      </c>
      <c r="P13" s="26">
        <f t="shared" si="6"/>
        <v>15</v>
      </c>
      <c r="Q13" s="26">
        <f t="shared" si="6"/>
        <v>15</v>
      </c>
      <c r="R13" s="91"/>
    </row>
    <row r="14" spans="2:18" x14ac:dyDescent="0.2">
      <c r="B14" s="24" t="s">
        <v>21</v>
      </c>
      <c r="C14" s="25">
        <f>C13/7</f>
        <v>52.142857142857146</v>
      </c>
      <c r="D14" s="24"/>
      <c r="F14" s="25"/>
      <c r="G14" s="12"/>
      <c r="J14" s="10" t="s">
        <v>22</v>
      </c>
      <c r="K14" s="18">
        <v>18.75</v>
      </c>
      <c r="L14" s="15"/>
      <c r="M14" s="26">
        <f>K14</f>
        <v>18.75</v>
      </c>
      <c r="N14" s="26">
        <f>M14</f>
        <v>18.75</v>
      </c>
      <c r="O14" s="26">
        <f t="shared" si="6"/>
        <v>18.75</v>
      </c>
      <c r="P14" s="26">
        <f t="shared" si="6"/>
        <v>18.75</v>
      </c>
      <c r="Q14" s="26">
        <f t="shared" si="6"/>
        <v>18.75</v>
      </c>
      <c r="R14" s="91"/>
    </row>
    <row r="15" spans="2:18" x14ac:dyDescent="0.2">
      <c r="B15" s="12"/>
      <c r="C15" s="27"/>
      <c r="D15" s="12"/>
      <c r="F15" s="21"/>
      <c r="G15" s="12"/>
      <c r="J15" s="10" t="s">
        <v>23</v>
      </c>
      <c r="K15" s="23">
        <f t="shared" ref="K15:Q15" si="7">K10-K12-K13-K14</f>
        <v>791.32500000000005</v>
      </c>
      <c r="L15" s="15"/>
      <c r="M15" s="23">
        <f t="shared" si="7"/>
        <v>626.30999999999995</v>
      </c>
      <c r="N15" s="23">
        <f t="shared" si="7"/>
        <v>708.8175</v>
      </c>
      <c r="O15" s="23">
        <f t="shared" si="7"/>
        <v>791.32500000000005</v>
      </c>
      <c r="P15" s="23">
        <f t="shared" si="7"/>
        <v>873.8325000000001</v>
      </c>
      <c r="Q15" s="23">
        <f t="shared" si="7"/>
        <v>956.34000000000026</v>
      </c>
      <c r="R15" s="91"/>
    </row>
    <row r="16" spans="2:18" ht="15.75" x14ac:dyDescent="0.25">
      <c r="B16" s="28" t="s">
        <v>24</v>
      </c>
      <c r="C16" s="27"/>
      <c r="D16" s="12"/>
      <c r="F16" s="21"/>
      <c r="G16" s="12"/>
      <c r="J16" s="10" t="s">
        <v>25</v>
      </c>
      <c r="K16" s="11">
        <f t="shared" ref="K16" si="8">K6</f>
        <v>450</v>
      </c>
      <c r="L16" s="15"/>
      <c r="M16" s="11">
        <f>K16</f>
        <v>450</v>
      </c>
      <c r="N16" s="11">
        <f>M16</f>
        <v>450</v>
      </c>
      <c r="O16" s="11">
        <f t="shared" ref="O16:Q16" si="9">N16</f>
        <v>450</v>
      </c>
      <c r="P16" s="11">
        <f t="shared" si="9"/>
        <v>450</v>
      </c>
      <c r="Q16" s="11">
        <f t="shared" si="9"/>
        <v>450</v>
      </c>
      <c r="R16" s="91"/>
    </row>
    <row r="17" spans="2:18" x14ac:dyDescent="0.2">
      <c r="B17" s="12" t="s">
        <v>26</v>
      </c>
      <c r="C17" s="20">
        <v>450</v>
      </c>
      <c r="G17" s="12"/>
      <c r="J17" s="10" t="s">
        <v>27</v>
      </c>
      <c r="K17" s="23">
        <f t="shared" ref="K17:Q17" si="10">IF(K8&gt;0,(K12+K13+K14)/K8,0)</f>
        <v>0.14894736842105263</v>
      </c>
      <c r="L17" s="15"/>
      <c r="M17" s="23">
        <f t="shared" si="10"/>
        <v>0.13494736842105262</v>
      </c>
      <c r="N17" s="23">
        <f t="shared" si="10"/>
        <v>0.14194736842105266</v>
      </c>
      <c r="O17" s="23">
        <f t="shared" si="10"/>
        <v>0.14894736842105263</v>
      </c>
      <c r="P17" s="23">
        <f t="shared" si="10"/>
        <v>0.15594736842105264</v>
      </c>
      <c r="Q17" s="23">
        <f t="shared" si="10"/>
        <v>0.16294736842105265</v>
      </c>
      <c r="R17" s="91"/>
    </row>
    <row r="18" spans="2:18" x14ac:dyDescent="0.2">
      <c r="B18" s="12" t="s">
        <v>28</v>
      </c>
      <c r="C18" s="29">
        <f>K18</f>
        <v>1.7585000000000002</v>
      </c>
      <c r="E18" s="12" t="s">
        <v>29</v>
      </c>
      <c r="F18" s="30"/>
      <c r="G18" s="12"/>
      <c r="J18" s="10" t="s">
        <v>30</v>
      </c>
      <c r="K18" s="23">
        <f t="shared" ref="K18:Q18" si="11">IF(K16&gt;0,K15/K16,0)</f>
        <v>1.7585000000000002</v>
      </c>
      <c r="L18" s="15"/>
      <c r="M18" s="23">
        <f t="shared" si="11"/>
        <v>1.3917999999999999</v>
      </c>
      <c r="N18" s="23">
        <f t="shared" si="11"/>
        <v>1.5751500000000001</v>
      </c>
      <c r="O18" s="23">
        <f t="shared" si="11"/>
        <v>1.7585000000000002</v>
      </c>
      <c r="P18" s="23">
        <f t="shared" si="11"/>
        <v>1.9418500000000003</v>
      </c>
      <c r="Q18" s="23">
        <f t="shared" si="11"/>
        <v>2.1252000000000004</v>
      </c>
      <c r="R18" s="91"/>
    </row>
    <row r="19" spans="2:18" ht="16.5" thickBot="1" x14ac:dyDescent="0.3">
      <c r="B19" s="1" t="s">
        <v>31</v>
      </c>
      <c r="C19" s="31">
        <f>C18*C17</f>
        <v>791.32500000000005</v>
      </c>
      <c r="D19" s="32">
        <f>C19*C10</f>
        <v>395662.5</v>
      </c>
      <c r="F19" s="33"/>
      <c r="G19" s="33"/>
      <c r="K19" s="102" t="s">
        <v>79</v>
      </c>
      <c r="L19" s="15"/>
      <c r="M19" s="103">
        <f t="shared" ref="M19:N19" si="12">M6*$C$54*M18*-1</f>
        <v>-15657.75</v>
      </c>
      <c r="N19" s="103">
        <f t="shared" si="12"/>
        <v>-17720.4375</v>
      </c>
      <c r="O19" s="103">
        <f>O6*$C$54*O18*-1</f>
        <v>-19783.125000000004</v>
      </c>
      <c r="P19" s="103">
        <f t="shared" ref="P19:Q19" si="13">P6*$C$54*P18*-1</f>
        <v>-21845.812500000004</v>
      </c>
      <c r="Q19" s="103">
        <f t="shared" si="13"/>
        <v>-23908.500000000004</v>
      </c>
    </row>
    <row r="20" spans="2:18" ht="15.75" thickTop="1" x14ac:dyDescent="0.2">
      <c r="B20" s="33"/>
      <c r="C20" s="33"/>
      <c r="D20" s="33"/>
      <c r="F20" s="33"/>
      <c r="G20" s="33"/>
      <c r="L20" s="15"/>
    </row>
    <row r="21" spans="2:18" ht="15.75" x14ac:dyDescent="0.25">
      <c r="B21" s="28" t="s">
        <v>32</v>
      </c>
      <c r="C21" s="27"/>
      <c r="G21" s="12"/>
      <c r="L21" s="15"/>
    </row>
    <row r="22" spans="2:18" ht="15.75" x14ac:dyDescent="0.25">
      <c r="B22" s="34" t="s">
        <v>33</v>
      </c>
      <c r="C22" s="33"/>
      <c r="G22" s="12"/>
      <c r="J22" s="6" t="s">
        <v>34</v>
      </c>
      <c r="K22" s="7"/>
      <c r="L22" s="15"/>
    </row>
    <row r="23" spans="2:18" x14ac:dyDescent="0.2">
      <c r="B23" s="35" t="s">
        <v>35</v>
      </c>
      <c r="C23" s="36">
        <f>C10</f>
        <v>500</v>
      </c>
      <c r="G23" s="12"/>
      <c r="J23" s="37"/>
      <c r="K23" s="37"/>
      <c r="L23" s="15"/>
    </row>
    <row r="24" spans="2:18" ht="15.75" x14ac:dyDescent="0.25">
      <c r="B24" s="35" t="s">
        <v>36</v>
      </c>
      <c r="C24" s="117">
        <v>82</v>
      </c>
      <c r="D24" s="38">
        <f>C24/7</f>
        <v>11.714285714285714</v>
      </c>
      <c r="E24" s="3" t="s">
        <v>37</v>
      </c>
      <c r="G24" s="12"/>
      <c r="J24" s="10" t="s">
        <v>38</v>
      </c>
      <c r="K24" s="88">
        <v>500</v>
      </c>
      <c r="L24" s="39"/>
    </row>
    <row r="25" spans="2:18" x14ac:dyDescent="0.2">
      <c r="B25" s="35" t="s">
        <v>39</v>
      </c>
      <c r="C25" s="36">
        <f>C17</f>
        <v>450</v>
      </c>
      <c r="G25" s="12"/>
      <c r="J25" s="10" t="s">
        <v>40</v>
      </c>
      <c r="K25" s="89">
        <v>250</v>
      </c>
      <c r="L25" s="39"/>
    </row>
    <row r="26" spans="2:18" x14ac:dyDescent="0.2">
      <c r="B26" s="35" t="s">
        <v>41</v>
      </c>
      <c r="C26" s="106">
        <v>0.01</v>
      </c>
      <c r="G26" s="12"/>
      <c r="J26" s="10" t="s">
        <v>42</v>
      </c>
      <c r="K26" s="90">
        <v>1.95</v>
      </c>
      <c r="L26" s="39"/>
    </row>
    <row r="27" spans="2:18" x14ac:dyDescent="0.2">
      <c r="B27" s="3" t="s">
        <v>43</v>
      </c>
      <c r="C27" s="35">
        <f>C25*C26</f>
        <v>4.5</v>
      </c>
      <c r="G27" s="12"/>
      <c r="J27" s="10" t="s">
        <v>44</v>
      </c>
      <c r="K27" s="89">
        <v>26</v>
      </c>
      <c r="L27" s="15"/>
    </row>
    <row r="28" spans="2:18" x14ac:dyDescent="0.2">
      <c r="B28" s="35" t="s">
        <v>45</v>
      </c>
      <c r="C28" s="35">
        <f>C24*C27</f>
        <v>369</v>
      </c>
      <c r="G28" s="12"/>
      <c r="J28" s="10" t="s">
        <v>46</v>
      </c>
      <c r="K28" s="22">
        <f>IF(K24&gt;0,K24*K25*K26/K27,0)</f>
        <v>9375</v>
      </c>
      <c r="L28" s="15"/>
    </row>
    <row r="29" spans="2:18" ht="15.75" x14ac:dyDescent="0.25">
      <c r="B29" s="35" t="s">
        <v>47</v>
      </c>
      <c r="C29" s="118">
        <v>320</v>
      </c>
      <c r="G29" s="12"/>
      <c r="J29" s="10" t="s">
        <v>48</v>
      </c>
      <c r="K29" s="23">
        <f>IF(K24&gt;0,K28/K24,0)</f>
        <v>18.75</v>
      </c>
      <c r="L29" s="15"/>
    </row>
    <row r="30" spans="2:18" x14ac:dyDescent="0.2">
      <c r="B30" s="35" t="s">
        <v>49</v>
      </c>
      <c r="C30" s="40">
        <f>C28*C23/1000</f>
        <v>184.5</v>
      </c>
      <c r="G30" s="12"/>
      <c r="J30" s="15"/>
      <c r="K30" s="15"/>
      <c r="L30" s="15"/>
    </row>
    <row r="31" spans="2:18" x14ac:dyDescent="0.2">
      <c r="B31" s="35" t="s">
        <v>50</v>
      </c>
      <c r="C31" s="41">
        <f>C30*C29</f>
        <v>59040</v>
      </c>
      <c r="G31" s="12"/>
      <c r="L31" s="15"/>
    </row>
    <row r="32" spans="2:18" ht="15.75" x14ac:dyDescent="0.25">
      <c r="B32" s="42" t="s">
        <v>51</v>
      </c>
      <c r="C32" s="35"/>
      <c r="G32" s="12"/>
      <c r="J32" s="43" t="s">
        <v>52</v>
      </c>
      <c r="K32" s="44"/>
      <c r="L32" s="15"/>
      <c r="M32" s="15"/>
      <c r="N32" s="15"/>
    </row>
    <row r="33" spans="2:15" x14ac:dyDescent="0.2">
      <c r="B33" s="35" t="s">
        <v>53</v>
      </c>
      <c r="C33" s="107">
        <v>2</v>
      </c>
      <c r="G33" s="12"/>
      <c r="J33" s="45" t="s">
        <v>54</v>
      </c>
      <c r="K33" s="45"/>
      <c r="L33" s="15"/>
      <c r="M33" s="15"/>
      <c r="N33" s="15"/>
    </row>
    <row r="34" spans="2:15" x14ac:dyDescent="0.2">
      <c r="B34" s="35" t="s">
        <v>55</v>
      </c>
      <c r="C34" s="108">
        <v>50</v>
      </c>
      <c r="G34" s="12"/>
      <c r="J34" s="46" t="s">
        <v>56</v>
      </c>
      <c r="K34" s="37"/>
      <c r="L34" s="33"/>
      <c r="M34" s="33"/>
      <c r="N34" s="33"/>
      <c r="O34" s="33"/>
    </row>
    <row r="35" spans="2:15" ht="15.75" x14ac:dyDescent="0.25">
      <c r="B35" s="35" t="s">
        <v>57</v>
      </c>
      <c r="C35" s="40">
        <f>C24/7*C33</f>
        <v>23.428571428571427</v>
      </c>
      <c r="G35" s="12"/>
      <c r="J35" s="47" t="s">
        <v>58</v>
      </c>
      <c r="K35" s="47" t="s">
        <v>59</v>
      </c>
      <c r="L35" s="35"/>
      <c r="N35" s="35"/>
      <c r="O35" s="35"/>
    </row>
    <row r="36" spans="2:15" ht="15.75" x14ac:dyDescent="0.25">
      <c r="B36" s="35" t="s">
        <v>60</v>
      </c>
      <c r="C36" s="41">
        <f>C34*C35</f>
        <v>1171.4285714285713</v>
      </c>
      <c r="G36" s="12"/>
      <c r="J36" s="48" t="s">
        <v>61</v>
      </c>
      <c r="K36" s="48" t="s">
        <v>62</v>
      </c>
      <c r="L36" s="35"/>
      <c r="O36" s="35"/>
    </row>
    <row r="37" spans="2:15" ht="16.5" thickBot="1" x14ac:dyDescent="0.3">
      <c r="B37" s="35" t="s">
        <v>63</v>
      </c>
      <c r="C37" s="49">
        <f>C36+C31</f>
        <v>60211.428571428572</v>
      </c>
      <c r="G37" s="12"/>
      <c r="J37" s="50">
        <v>250</v>
      </c>
      <c r="K37" s="50">
        <v>38</v>
      </c>
      <c r="O37" s="35"/>
    </row>
    <row r="38" spans="2:15" ht="15.75" thickTop="1" x14ac:dyDescent="0.2">
      <c r="B38" s="35" t="s">
        <v>64</v>
      </c>
      <c r="C38" s="51">
        <f>C37/C23</f>
        <v>120.42285714285714</v>
      </c>
      <c r="G38" s="12"/>
      <c r="J38" s="52">
        <v>300</v>
      </c>
      <c r="K38" s="52">
        <v>34</v>
      </c>
      <c r="L38" s="35"/>
    </row>
    <row r="39" spans="2:15" x14ac:dyDescent="0.2">
      <c r="B39" s="12" t="s">
        <v>65</v>
      </c>
      <c r="C39" s="109">
        <v>5</v>
      </c>
      <c r="G39" s="12"/>
      <c r="J39" s="52">
        <v>350</v>
      </c>
      <c r="K39" s="52">
        <v>30</v>
      </c>
    </row>
    <row r="40" spans="2:15" x14ac:dyDescent="0.2">
      <c r="B40" s="12" t="s">
        <v>66</v>
      </c>
      <c r="C40" s="109">
        <v>25</v>
      </c>
      <c r="G40" s="12"/>
      <c r="J40" s="52">
        <v>400</v>
      </c>
      <c r="K40" s="52">
        <v>28</v>
      </c>
      <c r="L40" s="35"/>
      <c r="N40" s="35"/>
      <c r="O40" s="35"/>
    </row>
    <row r="41" spans="2:15" x14ac:dyDescent="0.2">
      <c r="B41" s="12" t="s">
        <v>67</v>
      </c>
      <c r="C41" s="109">
        <v>0</v>
      </c>
      <c r="J41" s="52">
        <v>450</v>
      </c>
      <c r="K41" s="52">
        <v>26</v>
      </c>
      <c r="L41" s="35"/>
      <c r="N41" s="35"/>
      <c r="O41" s="35"/>
    </row>
    <row r="42" spans="2:15" ht="16.5" thickBot="1" x14ac:dyDescent="0.3">
      <c r="B42" s="1" t="s">
        <v>68</v>
      </c>
      <c r="C42" s="116">
        <f>SUM(C38,C39,C40,C41)</f>
        <v>150.42285714285714</v>
      </c>
      <c r="D42" s="32">
        <f>C42*C10</f>
        <v>75211.428571428565</v>
      </c>
      <c r="F42" s="54"/>
      <c r="J42" s="52">
        <v>500</v>
      </c>
      <c r="K42" s="52">
        <v>24</v>
      </c>
      <c r="L42" s="35"/>
      <c r="N42" s="35"/>
      <c r="O42" s="35"/>
    </row>
    <row r="43" spans="2:15" ht="16.5" thickTop="1" x14ac:dyDescent="0.25">
      <c r="B43" s="1"/>
      <c r="C43" s="91"/>
      <c r="D43" s="12"/>
      <c r="F43" s="55"/>
      <c r="J43" s="52">
        <v>550</v>
      </c>
      <c r="K43" s="52">
        <v>22</v>
      </c>
      <c r="N43" s="35"/>
      <c r="O43" s="35"/>
    </row>
    <row r="44" spans="2:15" ht="15.75" x14ac:dyDescent="0.25">
      <c r="B44" s="28" t="s">
        <v>69</v>
      </c>
      <c r="C44" s="56"/>
      <c r="F44" s="55"/>
      <c r="J44" s="52">
        <v>600</v>
      </c>
      <c r="K44" s="52">
        <v>20</v>
      </c>
      <c r="L44" s="35"/>
      <c r="N44" s="35"/>
      <c r="O44" s="35"/>
    </row>
    <row r="45" spans="2:15" x14ac:dyDescent="0.2">
      <c r="B45" s="12" t="s">
        <v>70</v>
      </c>
      <c r="C45" s="110">
        <v>0.05</v>
      </c>
      <c r="D45" s="24"/>
      <c r="F45" s="55"/>
      <c r="J45" s="52">
        <v>650</v>
      </c>
      <c r="K45" s="52">
        <v>18</v>
      </c>
      <c r="L45" s="35"/>
      <c r="M45" s="35"/>
      <c r="N45" s="35"/>
    </row>
    <row r="46" spans="2:15" x14ac:dyDescent="0.2">
      <c r="B46" s="57" t="s">
        <v>71</v>
      </c>
      <c r="C46" s="58">
        <f>C19*(C13/365)*(C45)</f>
        <v>39.566250000000004</v>
      </c>
      <c r="D46" s="54">
        <f>C46*C10</f>
        <v>19783.125000000004</v>
      </c>
      <c r="F46" s="55"/>
      <c r="L46" s="35"/>
      <c r="M46" s="35"/>
      <c r="N46" s="35"/>
    </row>
    <row r="47" spans="2:15" x14ac:dyDescent="0.2">
      <c r="B47" s="59" t="s">
        <v>72</v>
      </c>
      <c r="C47" s="60">
        <f>C42*(C13/2/365)*C45</f>
        <v>3.7605714285714287</v>
      </c>
      <c r="D47" s="61">
        <f>C47*C10</f>
        <v>1880.2857142857144</v>
      </c>
      <c r="F47" s="55"/>
      <c r="J47" s="91"/>
      <c r="K47" s="91"/>
    </row>
    <row r="48" spans="2:15" ht="16.5" thickBot="1" x14ac:dyDescent="0.3">
      <c r="B48" s="62" t="s">
        <v>73</v>
      </c>
      <c r="C48" s="63">
        <f>SUM(C46:C47)</f>
        <v>43.326821428571435</v>
      </c>
      <c r="D48" s="32">
        <f>SUM(D46:D47)</f>
        <v>21663.410714285717</v>
      </c>
      <c r="F48" s="55"/>
    </row>
    <row r="49" spans="2:6" ht="15.75" thickTop="1" x14ac:dyDescent="0.2">
      <c r="B49" s="12"/>
      <c r="C49" s="55"/>
      <c r="D49" s="12"/>
      <c r="F49" s="55"/>
    </row>
    <row r="50" spans="2:6" ht="15.75" x14ac:dyDescent="0.25">
      <c r="B50" s="28" t="s">
        <v>74</v>
      </c>
      <c r="C50" s="3"/>
    </row>
    <row r="51" spans="2:6" x14ac:dyDescent="0.2">
      <c r="B51" s="12" t="s">
        <v>75</v>
      </c>
      <c r="C51" s="111">
        <v>0.9</v>
      </c>
    </row>
    <row r="52" spans="2:6" x14ac:dyDescent="0.2">
      <c r="B52" s="3" t="s">
        <v>76</v>
      </c>
      <c r="C52" s="25">
        <f>C51*C10</f>
        <v>450</v>
      </c>
    </row>
    <row r="53" spans="2:6" x14ac:dyDescent="0.2">
      <c r="B53" s="3" t="s">
        <v>77</v>
      </c>
      <c r="C53" s="111">
        <v>0.05</v>
      </c>
    </row>
    <row r="54" spans="2:6" x14ac:dyDescent="0.2">
      <c r="B54" s="3" t="s">
        <v>78</v>
      </c>
      <c r="C54" s="25">
        <f>C23-(C23*C51)-(C23*C53)</f>
        <v>25</v>
      </c>
    </row>
    <row r="55" spans="2:6" x14ac:dyDescent="0.2">
      <c r="B55" s="3" t="s">
        <v>79</v>
      </c>
      <c r="C55" s="3"/>
      <c r="D55" s="54">
        <f>C54*C17*C18*-1</f>
        <v>-19783.125000000004</v>
      </c>
      <c r="E55" s="3" t="s">
        <v>99</v>
      </c>
    </row>
    <row r="56" spans="2:6" ht="16.5" thickBot="1" x14ac:dyDescent="0.3">
      <c r="B56" s="3" t="s">
        <v>80</v>
      </c>
      <c r="C56" s="31">
        <f>D56/C52</f>
        <v>1050.5649206349208</v>
      </c>
      <c r="D56" s="32">
        <f>D48+D42+D19+D55</f>
        <v>472754.21428571432</v>
      </c>
    </row>
    <row r="57" spans="2:6" ht="15.75" thickTop="1" x14ac:dyDescent="0.2">
      <c r="C57" s="3"/>
    </row>
    <row r="58" spans="2:6" x14ac:dyDescent="0.2">
      <c r="C58" s="3"/>
    </row>
    <row r="59" spans="2:6" ht="15.75" x14ac:dyDescent="0.25">
      <c r="B59" s="64" t="s">
        <v>81</v>
      </c>
      <c r="C59" s="65"/>
      <c r="D59" s="66"/>
    </row>
    <row r="60" spans="2:6" x14ac:dyDescent="0.2">
      <c r="B60" s="67" t="s">
        <v>82</v>
      </c>
      <c r="C60" s="68">
        <f>C52</f>
        <v>450</v>
      </c>
      <c r="D60" s="69"/>
    </row>
    <row r="61" spans="2:6" ht="15.75" x14ac:dyDescent="0.25">
      <c r="B61" s="70" t="s">
        <v>83</v>
      </c>
      <c r="C61" s="112">
        <v>1500</v>
      </c>
      <c r="D61" s="71">
        <f>C61</f>
        <v>1500</v>
      </c>
    </row>
    <row r="62" spans="2:6" x14ac:dyDescent="0.2">
      <c r="B62" s="67" t="s">
        <v>84</v>
      </c>
      <c r="C62" s="72">
        <f>C61/C60</f>
        <v>3.3333333333333335</v>
      </c>
      <c r="D62" s="73"/>
    </row>
    <row r="63" spans="2:6" x14ac:dyDescent="0.2">
      <c r="B63" s="74" t="s">
        <v>85</v>
      </c>
      <c r="C63" s="75"/>
      <c r="D63" s="73"/>
    </row>
    <row r="64" spans="2:6" x14ac:dyDescent="0.2">
      <c r="B64" s="67" t="s">
        <v>38</v>
      </c>
      <c r="C64" s="68">
        <f>C60</f>
        <v>450</v>
      </c>
      <c r="D64" s="73"/>
    </row>
    <row r="65" spans="2:8" x14ac:dyDescent="0.2">
      <c r="B65" s="67" t="s">
        <v>40</v>
      </c>
      <c r="C65" s="113">
        <v>500</v>
      </c>
      <c r="D65" s="73"/>
    </row>
    <row r="66" spans="2:8" x14ac:dyDescent="0.2">
      <c r="B66" s="67" t="s">
        <v>42</v>
      </c>
      <c r="C66" s="114">
        <v>1.95</v>
      </c>
      <c r="D66" s="73"/>
    </row>
    <row r="67" spans="2:8" x14ac:dyDescent="0.2">
      <c r="B67" s="67" t="s">
        <v>44</v>
      </c>
      <c r="C67" s="113">
        <v>26</v>
      </c>
      <c r="D67" s="73"/>
    </row>
    <row r="68" spans="2:8" ht="15.75" x14ac:dyDescent="0.25">
      <c r="B68" s="67" t="s">
        <v>86</v>
      </c>
      <c r="C68" s="76">
        <f>IF(C64&gt;0,C64*C65*C66/C67,0)</f>
        <v>16875</v>
      </c>
      <c r="D68" s="71">
        <f>C68</f>
        <v>16875</v>
      </c>
    </row>
    <row r="69" spans="2:8" x14ac:dyDescent="0.2">
      <c r="B69" s="67" t="s">
        <v>48</v>
      </c>
      <c r="C69" s="72">
        <f>IF(C64&gt;0,C68/C64,0)</f>
        <v>37.5</v>
      </c>
      <c r="D69" s="73"/>
    </row>
    <row r="70" spans="2:8" ht="15.75" x14ac:dyDescent="0.25">
      <c r="B70" s="67" t="s">
        <v>87</v>
      </c>
      <c r="C70" s="115">
        <v>10</v>
      </c>
      <c r="D70" s="71">
        <f>C70*C60</f>
        <v>4500</v>
      </c>
    </row>
    <row r="71" spans="2:8" ht="15.75" x14ac:dyDescent="0.25">
      <c r="B71" s="67" t="s">
        <v>88</v>
      </c>
      <c r="C71" s="115">
        <v>1200</v>
      </c>
      <c r="D71" s="71">
        <f>C71*C60</f>
        <v>540000</v>
      </c>
    </row>
    <row r="72" spans="2:8" ht="15.75" x14ac:dyDescent="0.25">
      <c r="B72" s="77" t="s">
        <v>89</v>
      </c>
      <c r="C72" s="53">
        <f>D72/C60</f>
        <v>1250.8333333333333</v>
      </c>
      <c r="D72" s="78">
        <f>SUM(D61:D71)</f>
        <v>562875</v>
      </c>
    </row>
    <row r="73" spans="2:8" x14ac:dyDescent="0.2">
      <c r="C73" s="3"/>
    </row>
    <row r="74" spans="2:8" ht="15.75" x14ac:dyDescent="0.25">
      <c r="B74" s="28" t="s">
        <v>90</v>
      </c>
      <c r="D74" s="54">
        <f>D72-D56</f>
        <v>90120.785714285681</v>
      </c>
    </row>
    <row r="75" spans="2:8" x14ac:dyDescent="0.2">
      <c r="C75" s="3"/>
      <c r="E75" s="54" t="s">
        <v>98</v>
      </c>
    </row>
    <row r="76" spans="2:8" x14ac:dyDescent="0.2">
      <c r="C76" s="3"/>
    </row>
    <row r="77" spans="2:8" x14ac:dyDescent="0.2">
      <c r="C77" s="3"/>
    </row>
    <row r="78" spans="2:8" x14ac:dyDescent="0.2">
      <c r="C78" s="3"/>
    </row>
    <row r="79" spans="2:8" x14ac:dyDescent="0.2">
      <c r="C79" s="3"/>
    </row>
    <row r="80" spans="2:8" ht="15.75" x14ac:dyDescent="0.25">
      <c r="B80" s="34" t="s">
        <v>91</v>
      </c>
      <c r="C80" s="91"/>
      <c r="D80" s="91"/>
      <c r="E80" s="91"/>
      <c r="F80" s="91"/>
      <c r="G80" s="91"/>
      <c r="H80" s="91"/>
    </row>
    <row r="81" spans="2:10" x14ac:dyDescent="0.2">
      <c r="B81" s="79" t="s">
        <v>92</v>
      </c>
      <c r="C81" s="3"/>
      <c r="D81" s="80"/>
      <c r="E81" s="80"/>
      <c r="F81" s="80"/>
      <c r="G81" s="80"/>
      <c r="H81" s="80"/>
    </row>
    <row r="82" spans="2:10" x14ac:dyDescent="0.2">
      <c r="B82" s="5" t="s">
        <v>93</v>
      </c>
      <c r="C82" s="72">
        <f>D82-0.2</f>
        <v>1.6</v>
      </c>
      <c r="D82" s="72">
        <f>E82-0.2</f>
        <v>1.8</v>
      </c>
      <c r="E82" s="81">
        <f>K9</f>
        <v>2</v>
      </c>
      <c r="F82" s="82">
        <f>E82+0.2</f>
        <v>2.2000000000000002</v>
      </c>
      <c r="G82" s="82">
        <f>F82+0.2</f>
        <v>2.4000000000000004</v>
      </c>
      <c r="H82" s="80"/>
    </row>
    <row r="83" spans="2:10" x14ac:dyDescent="0.2">
      <c r="B83" s="79" t="s">
        <v>94</v>
      </c>
      <c r="C83" s="82">
        <f>M15</f>
        <v>626.30999999999995</v>
      </c>
      <c r="D83" s="82">
        <f>N15</f>
        <v>708.8175</v>
      </c>
      <c r="E83" s="82">
        <f>C19</f>
        <v>791.32500000000005</v>
      </c>
      <c r="F83" s="82">
        <f>P15</f>
        <v>873.8325000000001</v>
      </c>
      <c r="G83" s="82">
        <f>Q15</f>
        <v>956.34000000000026</v>
      </c>
      <c r="H83" s="80"/>
    </row>
    <row r="84" spans="2:10" x14ac:dyDescent="0.2">
      <c r="B84" s="80" t="s">
        <v>95</v>
      </c>
      <c r="C84" s="3" t="s">
        <v>96</v>
      </c>
      <c r="D84" s="5"/>
      <c r="F84" s="80"/>
      <c r="G84" s="80"/>
      <c r="H84" s="80"/>
    </row>
    <row r="85" spans="2:10" x14ac:dyDescent="0.2">
      <c r="B85" s="83">
        <f t="shared" ref="B85:B86" si="14">B86-100</f>
        <v>900</v>
      </c>
      <c r="C85" s="92">
        <f>$B85*$C$60+$D$70+$D$68+$D$61-($M$15*$C$10)-$D$42-($M$15*$C$13/365*$C$45*$C$10)-$D$47-M19</f>
        <v>37628.285714285725</v>
      </c>
      <c r="D85" s="92">
        <f>$B85*$C$60+$D$70+$D$68+$D$61-($N$15*$C$10)-$D$42-($N$15*$C$13/365*$C$45*$C$10)-$D$47-N19</f>
        <v>-3625.464285714279</v>
      </c>
      <c r="E85" s="92">
        <f>$B85*$C$60+$D$70+$D$68+$D$61-($O$15*$C$10)-$D$42-($O$15*$C$13/365*$C$45*$C$10)-$D$47-$D$55</f>
        <v>-44879.214285714275</v>
      </c>
      <c r="F85" s="93">
        <f>$B85*$C$60+$D$70+$D$68+$D$61-($P$15*$C$10)-$D$42-($P$15*$C$13/365*$C$45*$C$10)-$D$47-P19</f>
        <v>-86132.964285714334</v>
      </c>
      <c r="G85" s="93">
        <f>$B85*$C$60+$D$70+$D$68+$D$61-($Q$15*$C$10)-$D$42-($Q$15*$C$13/365*$C$45*$C$10)-$D$47-Q19</f>
        <v>-127386.71428571441</v>
      </c>
      <c r="H85" s="80"/>
    </row>
    <row r="86" spans="2:10" x14ac:dyDescent="0.2">
      <c r="B86" s="83">
        <f t="shared" si="14"/>
        <v>1000</v>
      </c>
      <c r="C86" s="94">
        <f>$B86*$C$60+$D$70+$D$68+$D$61-($M$15*$C$10)-$D$42-($M$15*$C$13/365*$C$45*$C$10)-$D$47-M19</f>
        <v>82628.285714285725</v>
      </c>
      <c r="D86" s="94">
        <f>$B86*$C$60+$D$70+$D$68+$D$61-($N$15*$C$10)-$D$42-($N$15*$C$13/365*$C$45*$C$10)-$D$47-N19</f>
        <v>41374.535714285725</v>
      </c>
      <c r="E86" s="94">
        <f t="shared" ref="E86:E91" si="15">$B86*$C$60+$D$70+$D$68+$D$61-($O$15*$C$10)-$D$42-($O$15*$C$13/365*$C$45*$C$10)-$D$47-$D$55</f>
        <v>120.78571428572104</v>
      </c>
      <c r="F86" s="95">
        <f>$B86*$C$60+$D$70+$D$68+$D$61-($P$15*$C$10)-$D$42-($P$15*$C$13/365*$C$45*$C$10)-$D$47-P19</f>
        <v>-41132.964285714334</v>
      </c>
      <c r="G86" s="95">
        <f>$B86*$C$60+$D$70+$D$68+$D$61-($Q$15*$C$10)-$D$42-($Q$15*$C$13/365*$C$45*$C$10)-$D$47-Q19</f>
        <v>-82386.714285714406</v>
      </c>
      <c r="H86" s="80"/>
    </row>
    <row r="87" spans="2:10" x14ac:dyDescent="0.2">
      <c r="B87" s="83">
        <f>B88-100</f>
        <v>1100</v>
      </c>
      <c r="C87" s="94">
        <f>$B87*$C$60+$D$70+$D$68+$D$61-($M$15*$C$10)-$D$42-($M$15*$C$13/365*$C$45*$C$10)-$D$47-M19</f>
        <v>127628.28571428572</v>
      </c>
      <c r="D87" s="94">
        <f>$B87*$C$60+$D$70+$D$68+$D$61-($N$15*$C$10)-$D$42-($N$15*$C$13/365*$C$45*$C$10)-$D$47-N19</f>
        <v>86374.535714285725</v>
      </c>
      <c r="E87" s="94">
        <f t="shared" si="15"/>
        <v>45120.785714285725</v>
      </c>
      <c r="F87" s="95">
        <f>$B87*$C$60+$D$70+$D$68+$D$61-($P$15*$C$10)-$D$42-($P$15*$C$13/365*$C$45*$C$10)-$D$47-P19</f>
        <v>3867.0357142856628</v>
      </c>
      <c r="G87" s="95">
        <f>$B87*$C$60+$D$70+$D$68+$D$61-($Q$15*$C$10)-$D$42-($Q$15*$C$13/365*$C$45*$C$10)-$D$47-Q19</f>
        <v>-37386.714285714406</v>
      </c>
      <c r="H87" s="80"/>
    </row>
    <row r="88" spans="2:10" x14ac:dyDescent="0.2">
      <c r="B88" s="84">
        <f>C71</f>
        <v>1200</v>
      </c>
      <c r="C88" s="94">
        <f>$B88*$C$60+$D$70+$D$68+$D$61-($M$15*$C$10)-$D$42-($M$15*$C$13/365*$C$45*$C$10)-$D$47-M19</f>
        <v>172628.28571428571</v>
      </c>
      <c r="D88" s="94">
        <f>$B88*$C$60+$D$70+$D$68+$D$61-($N$15*$C$10)-$D$42-($N$15*$C$13/365*$C$45*$C$10)-$D$47-N19</f>
        <v>131374.53571428571</v>
      </c>
      <c r="E88" s="96">
        <f t="shared" si="15"/>
        <v>90120.785714285725</v>
      </c>
      <c r="F88" s="95">
        <f>$B88*$C$60+$D$70+$D$68+$D$61-($P$15*$C$10)-$D$42-($P$15*$C$13/365*$C$45*$C$10)-$D$47-P19</f>
        <v>48867.035714285666</v>
      </c>
      <c r="G88" s="95">
        <f>$B88*$C$60+$D$70+$D$68+$D$61-($Q$15*$C$10)-$D$42-($Q$15*$C$13/365*$C$45*$C$10)-$D$47-Q19</f>
        <v>7613.285714285601</v>
      </c>
      <c r="H88" s="80"/>
    </row>
    <row r="89" spans="2:10" x14ac:dyDescent="0.2">
      <c r="B89" s="83">
        <f>B88+100</f>
        <v>1300</v>
      </c>
      <c r="C89" s="94">
        <f>$B89*$C$60+$D$70+$D$68+$D$61-($M$15*$C$10)-$D$42-($M$15*$C$13/365*$C$45*$C$10)-$D$47-M19</f>
        <v>217628.28571428571</v>
      </c>
      <c r="D89" s="94">
        <f>$B89*$C$60+$D$70+$D$68+$D$61-($N$15*$C$10)-$D$42-($N$15*$C$13/365*$C$45*$C$10)-$D$47-N19</f>
        <v>176374.53571428571</v>
      </c>
      <c r="E89" s="97">
        <f t="shared" si="15"/>
        <v>135120.78571428571</v>
      </c>
      <c r="F89" s="98">
        <f>$B89*$C$60+$D$70+$D$68+$D$61-($P$15*$C$10)-$D$42-($P$15*$C$13/365*$C$45*$C$10)-$D$47-P19</f>
        <v>93867.035714285666</v>
      </c>
      <c r="G89" s="98">
        <f>$B89*$C$60+$D$70+$D$68+$D$61-($Q$15*$C$10)-$D$42-($Q$15*$C$13/365*$C$45*$C$10)-$D$47-Q19</f>
        <v>52613.285714285601</v>
      </c>
      <c r="H89" s="80"/>
    </row>
    <row r="90" spans="2:10" x14ac:dyDescent="0.2">
      <c r="B90" s="83">
        <f t="shared" ref="B90:B91" si="16">B89+100</f>
        <v>1400</v>
      </c>
      <c r="C90" s="94">
        <f>$B90*$C$60+$D$70+$D$68+$D$61-($M$15*$C$10)-$D$42-($M$15*$C$13/365*$C$45*$C$10)-$D$47-M19</f>
        <v>262628.28571428568</v>
      </c>
      <c r="D90" s="94">
        <f>$B90*$C$60+$D$70+$D$68+$D$61-($N$15*$C$10)-$D$42-($N$15*$C$13/365*$C$45*$C$10)-$D$47-N19</f>
        <v>221374.53571428571</v>
      </c>
      <c r="E90" s="97">
        <f t="shared" si="15"/>
        <v>180120.78571428571</v>
      </c>
      <c r="F90" s="98">
        <f>$B90*$C$60+$D$70+$D$68+$D$61-($P$15*$C$10)-$D$42-($P$15*$C$13/365*$C$45*$C$10)-$D$47-P19</f>
        <v>138867.03571428565</v>
      </c>
      <c r="G90" s="98">
        <f>$B90*$C$60+$D$70+$D$68+$D$61-($Q$15*$C$10)-$D$42-($Q$15*$C$13/365*$C$45*$C$10)-$D$47-Q19</f>
        <v>97613.285714285594</v>
      </c>
      <c r="H90" s="80"/>
    </row>
    <row r="91" spans="2:10" x14ac:dyDescent="0.2">
      <c r="B91" s="83">
        <f t="shared" si="16"/>
        <v>1500</v>
      </c>
      <c r="C91" s="99">
        <f>$B91*$C$60+$D$70+$D$68+$D$61-($M$15*$C$10)-$D$42-($M$15*$C$13/365*$C$45*$C$10)-$D$47-M19</f>
        <v>307628.28571428568</v>
      </c>
      <c r="D91" s="99">
        <f>$B91*$C$60+$D$70+$D$68+$D$61-($N$15*$C$10)-$D$42-($N$15*$C$13/365*$C$45*$C$10)-$D$47-N19</f>
        <v>266374.53571428568</v>
      </c>
      <c r="E91" s="100">
        <f t="shared" si="15"/>
        <v>225120.78571428571</v>
      </c>
      <c r="F91" s="101">
        <f>$B91*$C$60+$D$70+$D$68+$D$61-($P$15*$C$10)-$D$42-($P$15*$C$13/365*$C$45*$C$10)-$D$47-P19</f>
        <v>183867.03571428565</v>
      </c>
      <c r="G91" s="101">
        <f>$B91*$C$60+$D$70+$D$68+$D$61-($Q$15*$C$10)-$D$42-($Q$15*$C$13/365*$C$45*$C$10)-$D$47-Q19</f>
        <v>142613.28571428559</v>
      </c>
      <c r="H91" s="80"/>
    </row>
    <row r="92" spans="2:10" x14ac:dyDescent="0.2">
      <c r="H92" s="80"/>
    </row>
    <row r="93" spans="2:10" x14ac:dyDescent="0.2">
      <c r="B93" s="80"/>
      <c r="C93" s="80"/>
      <c r="D93" s="80"/>
      <c r="E93" s="80"/>
      <c r="F93" s="80"/>
      <c r="G93" s="80"/>
      <c r="H93" s="80"/>
      <c r="J93" s="85"/>
    </row>
    <row r="94" spans="2:10" x14ac:dyDescent="0.2">
      <c r="B94" s="80"/>
      <c r="C94" s="80"/>
      <c r="D94" s="80"/>
      <c r="E94" s="80"/>
      <c r="F94" s="80"/>
      <c r="G94" s="80"/>
      <c r="H94" s="80"/>
      <c r="J94" s="85"/>
    </row>
    <row r="95" spans="2:10" x14ac:dyDescent="0.2">
      <c r="B95" s="80"/>
      <c r="C95" s="80"/>
      <c r="D95" s="80"/>
      <c r="E95" s="80"/>
      <c r="F95" s="80"/>
      <c r="G95" s="80"/>
      <c r="H95" s="80"/>
      <c r="J95" s="85"/>
    </row>
    <row r="96" spans="2:10" x14ac:dyDescent="0.2">
      <c r="B96" s="80"/>
      <c r="C96" s="80"/>
      <c r="D96" s="80"/>
      <c r="E96" s="80"/>
      <c r="F96" s="80"/>
      <c r="G96" s="80"/>
      <c r="H96" s="80"/>
      <c r="J96" s="85"/>
    </row>
    <row r="97" spans="2:9" x14ac:dyDescent="0.2">
      <c r="B97" s="80"/>
      <c r="C97" s="80"/>
      <c r="D97" s="80"/>
      <c r="E97" s="80"/>
      <c r="F97" s="80"/>
      <c r="G97" s="80"/>
      <c r="H97" s="80"/>
    </row>
    <row r="98" spans="2:9" x14ac:dyDescent="0.2">
      <c r="B98" s="80"/>
      <c r="C98" s="80"/>
      <c r="D98" s="80"/>
      <c r="E98" s="80"/>
      <c r="F98" s="80"/>
      <c r="G98" s="80"/>
      <c r="H98" s="80"/>
    </row>
    <row r="99" spans="2:9" x14ac:dyDescent="0.2">
      <c r="B99" s="80"/>
      <c r="C99" s="80"/>
      <c r="D99" s="80"/>
      <c r="E99" s="80"/>
      <c r="F99" s="80"/>
      <c r="G99" s="80"/>
      <c r="H99" s="80"/>
    </row>
    <row r="100" spans="2:9" x14ac:dyDescent="0.2">
      <c r="B100" s="91"/>
      <c r="C100" s="91"/>
      <c r="D100" s="91"/>
      <c r="E100" s="91"/>
      <c r="F100" s="91"/>
      <c r="G100" s="91"/>
      <c r="H100" s="91"/>
    </row>
    <row r="101" spans="2:9" x14ac:dyDescent="0.2">
      <c r="B101" s="91"/>
      <c r="C101" s="91"/>
      <c r="D101" s="91"/>
      <c r="E101" s="91"/>
      <c r="F101" s="91"/>
      <c r="G101" s="91"/>
      <c r="H101" s="91"/>
    </row>
    <row r="102" spans="2:9" x14ac:dyDescent="0.2">
      <c r="B102" s="91"/>
      <c r="C102" s="91"/>
      <c r="D102" s="91"/>
      <c r="E102" s="91"/>
      <c r="F102" s="91"/>
      <c r="G102" s="91"/>
      <c r="H102" s="91"/>
    </row>
    <row r="103" spans="2:9" x14ac:dyDescent="0.2">
      <c r="B103" s="91"/>
      <c r="C103" s="91"/>
      <c r="D103" s="91"/>
      <c r="E103" s="91"/>
      <c r="F103" s="91"/>
      <c r="G103" s="91"/>
      <c r="H103" s="91"/>
    </row>
    <row r="104" spans="2:9" x14ac:dyDescent="0.2">
      <c r="B104" s="91"/>
      <c r="C104" s="91"/>
      <c r="D104" s="91"/>
      <c r="E104" s="91"/>
      <c r="F104" s="91"/>
      <c r="G104" s="91"/>
      <c r="H104" s="91"/>
      <c r="I104" s="85"/>
    </row>
    <row r="105" spans="2:9" x14ac:dyDescent="0.2">
      <c r="B105" s="91"/>
      <c r="C105" s="91"/>
      <c r="D105" s="91"/>
      <c r="E105" s="91"/>
      <c r="F105" s="91"/>
      <c r="G105" s="91"/>
      <c r="H105" s="91"/>
      <c r="I105" s="85"/>
    </row>
    <row r="106" spans="2:9" x14ac:dyDescent="0.2">
      <c r="B106" s="91"/>
      <c r="C106" s="91"/>
      <c r="D106" s="91"/>
      <c r="E106" s="91"/>
      <c r="F106" s="91"/>
      <c r="G106" s="91"/>
      <c r="H106" s="91"/>
      <c r="I106" s="85"/>
    </row>
    <row r="107" spans="2:9" x14ac:dyDescent="0.2">
      <c r="B107" s="91"/>
      <c r="C107" s="91"/>
      <c r="D107" s="91"/>
      <c r="E107" s="91"/>
      <c r="F107" s="91"/>
      <c r="G107" s="91"/>
      <c r="H107" s="91"/>
      <c r="I107" s="85"/>
    </row>
    <row r="108" spans="2:9" x14ac:dyDescent="0.2">
      <c r="B108" s="91"/>
      <c r="C108" s="91"/>
      <c r="D108" s="91"/>
      <c r="E108" s="91"/>
      <c r="F108" s="91"/>
      <c r="G108" s="91"/>
      <c r="H108" s="91"/>
    </row>
    <row r="109" spans="2:9" x14ac:dyDescent="0.2">
      <c r="B109" s="91"/>
      <c r="C109" s="91"/>
      <c r="D109" s="91"/>
      <c r="E109" s="91"/>
      <c r="F109" s="91"/>
      <c r="G109" s="91"/>
      <c r="H109" s="91"/>
    </row>
    <row r="110" spans="2:9" x14ac:dyDescent="0.2">
      <c r="B110" s="91"/>
      <c r="C110" s="91"/>
      <c r="D110" s="91"/>
      <c r="E110" s="91"/>
      <c r="F110" s="91"/>
      <c r="G110" s="91"/>
      <c r="H110" s="91"/>
    </row>
    <row r="111" spans="2:9" x14ac:dyDescent="0.2">
      <c r="B111" s="91"/>
      <c r="C111" s="91"/>
      <c r="D111" s="91"/>
      <c r="E111" s="91"/>
      <c r="F111" s="91"/>
      <c r="G111" s="91"/>
      <c r="H111" s="91"/>
    </row>
    <row r="112" spans="2:9" x14ac:dyDescent="0.2">
      <c r="B112" s="91"/>
      <c r="C112" s="91"/>
      <c r="D112" s="91"/>
      <c r="E112" s="91"/>
      <c r="F112" s="91"/>
      <c r="G112" s="91"/>
      <c r="H112" s="91"/>
    </row>
    <row r="113" spans="2:8" x14ac:dyDescent="0.2">
      <c r="B113" s="91"/>
      <c r="C113" s="91"/>
      <c r="D113" s="91"/>
      <c r="E113" s="91"/>
      <c r="F113" s="91"/>
      <c r="G113" s="91"/>
      <c r="H113" s="91"/>
    </row>
    <row r="114" spans="2:8" x14ac:dyDescent="0.2">
      <c r="B114" s="91"/>
      <c r="C114" s="91"/>
      <c r="D114" s="91"/>
      <c r="E114" s="91"/>
      <c r="F114" s="91"/>
      <c r="G114" s="91"/>
      <c r="H114" s="91"/>
    </row>
    <row r="115" spans="2:8" x14ac:dyDescent="0.2">
      <c r="B115" s="91"/>
      <c r="C115" s="91"/>
      <c r="D115" s="91"/>
      <c r="E115" s="91"/>
      <c r="F115" s="91"/>
      <c r="G115" s="91"/>
      <c r="H115" s="91"/>
    </row>
    <row r="116" spans="2:8" x14ac:dyDescent="0.2">
      <c r="B116" s="91"/>
      <c r="C116" s="91"/>
      <c r="D116" s="91"/>
      <c r="E116" s="91"/>
      <c r="F116" s="91"/>
      <c r="G116" s="91"/>
      <c r="H116" s="91"/>
    </row>
    <row r="117" spans="2:8" x14ac:dyDescent="0.2">
      <c r="B117" s="91"/>
      <c r="C117" s="91"/>
      <c r="D117" s="91"/>
      <c r="E117" s="91"/>
      <c r="F117" s="91"/>
      <c r="G117" s="91"/>
      <c r="H117" s="91"/>
    </row>
    <row r="118" spans="2:8" x14ac:dyDescent="0.2">
      <c r="B118" s="91"/>
      <c r="C118" s="91"/>
      <c r="D118" s="91"/>
      <c r="E118" s="91"/>
      <c r="F118" s="91"/>
      <c r="G118" s="91"/>
      <c r="H118" s="91"/>
    </row>
    <row r="119" spans="2:8" x14ac:dyDescent="0.2">
      <c r="B119" s="91"/>
      <c r="C119" s="91"/>
      <c r="D119" s="91"/>
      <c r="E119" s="91"/>
      <c r="F119" s="91"/>
      <c r="G119" s="91"/>
      <c r="H119" s="91"/>
    </row>
    <row r="120" spans="2:8" x14ac:dyDescent="0.2">
      <c r="B120" s="91"/>
      <c r="C120" s="91"/>
      <c r="D120" s="91"/>
      <c r="E120" s="91"/>
      <c r="F120" s="91"/>
      <c r="G120" s="91"/>
      <c r="H120" s="91"/>
    </row>
    <row r="121" spans="2:8" x14ac:dyDescent="0.2">
      <c r="B121" s="91"/>
      <c r="C121" s="91"/>
      <c r="D121" s="91"/>
      <c r="E121" s="91"/>
      <c r="F121" s="91"/>
      <c r="G121" s="91"/>
      <c r="H121" s="91"/>
    </row>
    <row r="122" spans="2:8" x14ac:dyDescent="0.2">
      <c r="B122" s="91"/>
      <c r="C122" s="91"/>
      <c r="D122" s="91"/>
      <c r="E122" s="91"/>
      <c r="F122" s="91"/>
      <c r="G122" s="91"/>
      <c r="H122" s="91"/>
    </row>
    <row r="123" spans="2:8" x14ac:dyDescent="0.2">
      <c r="B123" s="91"/>
      <c r="C123" s="91"/>
      <c r="D123" s="91"/>
      <c r="E123" s="91"/>
      <c r="F123" s="91"/>
      <c r="G123" s="91"/>
      <c r="H123" s="91"/>
    </row>
    <row r="124" spans="2:8" x14ac:dyDescent="0.2">
      <c r="B124" s="91"/>
      <c r="C124" s="91"/>
      <c r="D124" s="91"/>
      <c r="E124" s="91"/>
      <c r="F124" s="91"/>
      <c r="G124" s="91"/>
      <c r="H124" s="91"/>
    </row>
    <row r="125" spans="2:8" x14ac:dyDescent="0.2">
      <c r="B125" s="91"/>
      <c r="C125" s="91"/>
      <c r="D125" s="91"/>
      <c r="E125" s="91"/>
      <c r="F125" s="91"/>
      <c r="G125" s="91"/>
      <c r="H125" s="91"/>
    </row>
    <row r="126" spans="2:8" x14ac:dyDescent="0.2">
      <c r="B126" s="91"/>
      <c r="C126" s="91"/>
      <c r="D126" s="91"/>
      <c r="E126" s="91"/>
      <c r="F126" s="91"/>
      <c r="G126" s="91"/>
      <c r="H126" s="91"/>
    </row>
    <row r="127" spans="2:8" x14ac:dyDescent="0.2">
      <c r="B127" s="91"/>
      <c r="C127" s="91"/>
      <c r="D127" s="91"/>
      <c r="E127" s="91"/>
      <c r="F127" s="91"/>
      <c r="G127" s="91"/>
      <c r="H127" s="91"/>
    </row>
    <row r="128" spans="2:8" x14ac:dyDescent="0.2">
      <c r="B128" s="91"/>
      <c r="C128" s="91"/>
      <c r="D128" s="91"/>
      <c r="E128" s="91"/>
      <c r="F128" s="91"/>
      <c r="G128" s="91"/>
      <c r="H128" s="91"/>
    </row>
    <row r="129" spans="2:8" x14ac:dyDescent="0.2">
      <c r="B129" s="91"/>
      <c r="C129" s="91"/>
      <c r="D129" s="91"/>
      <c r="E129" s="91"/>
      <c r="F129" s="91"/>
      <c r="G129" s="91"/>
      <c r="H129" s="91"/>
    </row>
    <row r="130" spans="2:8" x14ac:dyDescent="0.2">
      <c r="B130" s="91"/>
      <c r="C130" s="91"/>
      <c r="D130" s="91"/>
      <c r="E130" s="91"/>
      <c r="F130" s="91"/>
      <c r="G130" s="91"/>
      <c r="H130" s="91"/>
    </row>
    <row r="131" spans="2:8" x14ac:dyDescent="0.2">
      <c r="B131" s="91"/>
      <c r="C131" s="91"/>
      <c r="D131" s="91"/>
      <c r="E131" s="91"/>
      <c r="F131" s="91"/>
      <c r="G131" s="91"/>
      <c r="H131" s="91"/>
    </row>
    <row r="132" spans="2:8" x14ac:dyDescent="0.2">
      <c r="B132" s="91"/>
      <c r="C132" s="91"/>
      <c r="D132" s="91"/>
      <c r="E132" s="91"/>
      <c r="F132" s="91"/>
      <c r="G132" s="91"/>
      <c r="H132" s="91"/>
    </row>
    <row r="133" spans="2:8" x14ac:dyDescent="0.2">
      <c r="B133" s="91"/>
      <c r="C133" s="91"/>
      <c r="D133" s="91"/>
      <c r="E133" s="91"/>
      <c r="F133" s="91"/>
      <c r="G133" s="91"/>
      <c r="H133" s="91"/>
    </row>
    <row r="134" spans="2:8" x14ac:dyDescent="0.2">
      <c r="B134" s="91"/>
      <c r="C134" s="91"/>
      <c r="D134" s="91"/>
      <c r="E134" s="91"/>
      <c r="F134" s="91"/>
      <c r="G134" s="91"/>
      <c r="H134" s="91"/>
    </row>
    <row r="135" spans="2:8" x14ac:dyDescent="0.2">
      <c r="B135" s="91"/>
      <c r="C135" s="91"/>
      <c r="D135" s="91"/>
      <c r="E135" s="91"/>
      <c r="F135" s="91"/>
      <c r="G135" s="91"/>
      <c r="H135" s="91"/>
    </row>
    <row r="136" spans="2:8" x14ac:dyDescent="0.2">
      <c r="B136" s="91"/>
      <c r="C136" s="91"/>
      <c r="D136" s="91"/>
      <c r="E136" s="91"/>
      <c r="F136" s="91"/>
      <c r="G136" s="91"/>
      <c r="H136" s="91"/>
    </row>
    <row r="137" spans="2:8" x14ac:dyDescent="0.2">
      <c r="B137" s="91"/>
      <c r="C137" s="91"/>
      <c r="D137" s="91"/>
      <c r="E137" s="91"/>
      <c r="F137" s="91"/>
      <c r="G137" s="91"/>
      <c r="H137" s="91"/>
    </row>
    <row r="138" spans="2:8" x14ac:dyDescent="0.2">
      <c r="B138" s="91"/>
      <c r="C138" s="91"/>
      <c r="D138" s="91"/>
      <c r="E138" s="91"/>
      <c r="F138" s="91"/>
      <c r="G138" s="91"/>
      <c r="H138" s="91"/>
    </row>
    <row r="139" spans="2:8" x14ac:dyDescent="0.2">
      <c r="B139" s="91"/>
      <c r="C139" s="91"/>
      <c r="D139" s="91"/>
      <c r="E139" s="91"/>
      <c r="F139" s="91"/>
      <c r="G139" s="91"/>
      <c r="H139" s="91"/>
    </row>
    <row r="140" spans="2:8" x14ac:dyDescent="0.2">
      <c r="B140" s="91"/>
      <c r="C140" s="91"/>
      <c r="D140" s="91"/>
      <c r="E140" s="91"/>
      <c r="F140" s="91"/>
      <c r="G140" s="91"/>
      <c r="H140" s="91"/>
    </row>
    <row r="141" spans="2:8" x14ac:dyDescent="0.2">
      <c r="B141" s="91"/>
      <c r="C141" s="91"/>
      <c r="D141" s="91"/>
      <c r="E141" s="91"/>
      <c r="F141" s="91"/>
      <c r="G141" s="91"/>
      <c r="H141" s="91"/>
    </row>
    <row r="142" spans="2:8" x14ac:dyDescent="0.2">
      <c r="B142" s="85"/>
      <c r="C142" s="86"/>
      <c r="D142" s="85"/>
      <c r="E142" s="85"/>
      <c r="F142" s="85"/>
      <c r="G142" s="85"/>
      <c r="H142" s="85"/>
    </row>
    <row r="143" spans="2:8" x14ac:dyDescent="0.2">
      <c r="B143" s="85"/>
      <c r="C143" s="86"/>
      <c r="D143" s="85"/>
      <c r="E143" s="85"/>
      <c r="F143" s="85"/>
      <c r="G143" s="85"/>
      <c r="H143" s="85"/>
    </row>
    <row r="144" spans="2:8" x14ac:dyDescent="0.2">
      <c r="C144" s="87"/>
    </row>
    <row r="145" spans="3:3" x14ac:dyDescent="0.2">
      <c r="C145" s="87"/>
    </row>
    <row r="146" spans="3:3" x14ac:dyDescent="0.2">
      <c r="C146" s="87"/>
    </row>
    <row r="147" spans="3:3" x14ac:dyDescent="0.2">
      <c r="C147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 or sell PTIC cows</vt:lpstr>
    </vt:vector>
  </TitlesOfParts>
  <Company>Queensland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CHUDLEIGH Fred</dc:creator>
  <cp:lastModifiedBy>CHUDLEIGH Fred</cp:lastModifiedBy>
  <dcterms:created xsi:type="dcterms:W3CDTF">2019-02-20T03:24:23Z</dcterms:created>
  <dcterms:modified xsi:type="dcterms:W3CDTF">2019-05-28T02:01:00Z</dcterms:modified>
</cp:coreProperties>
</file>