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wardj3\Desktop\Marees\"/>
    </mc:Choice>
  </mc:AlternateContent>
  <bookViews>
    <workbookView xWindow="-10" yWindow="-60" windowWidth="15480" windowHeight="6290"/>
  </bookViews>
  <sheets>
    <sheet name="Bullocks" sheetId="1" r:id="rId1"/>
    <sheet name="Notes" sheetId="2" r:id="rId2"/>
    <sheet name="Dry cattle retain" sheetId="3" r:id="rId3"/>
  </sheets>
  <definedNames>
    <definedName name="\_">#REF!</definedName>
    <definedName name="BREAKEVENSW">#REF!</definedName>
    <definedName name="CLEAR">#REF!</definedName>
    <definedName name="CSMOVE">#REF!</definedName>
    <definedName name="DATAFILE">#REF!</definedName>
    <definedName name="DATE">#REF!</definedName>
    <definedName name="DRILLDOWN">#REF!</definedName>
    <definedName name="FILE">#REF!</definedName>
    <definedName name="HOME">Bullocks!$B$1</definedName>
    <definedName name="LAYOUT">#REF!</definedName>
    <definedName name="LAYOUT1">#REF!</definedName>
    <definedName name="LAYOUT2">#REF!</definedName>
    <definedName name="LAYOUT3">#REF!</definedName>
    <definedName name="LOOKTABLE">#REF!</definedName>
    <definedName name="MENU">#REF!</definedName>
    <definedName name="_xlnm.Print_Area" localSheetId="0">Bullocks!$B$1:$R$140</definedName>
    <definedName name="SAMEPATH">#REF!</definedName>
    <definedName name="SCREEN">#REF!</definedName>
    <definedName name="SOURCE">#REF!</definedName>
    <definedName name="STYLES">Bullocks!#REF!</definedName>
    <definedName name="SUMMARY">#REF!</definedName>
    <definedName name="TRANSFERSUMM">#REF!</definedName>
  </definedNames>
  <calcPr calcId="162913"/>
</workbook>
</file>

<file path=xl/calcChain.xml><?xml version="1.0" encoding="utf-8"?>
<calcChain xmlns="http://schemas.openxmlformats.org/spreadsheetml/2006/main">
  <c r="Q82" i="3" l="1"/>
  <c r="L82" i="3"/>
  <c r="P81" i="3"/>
  <c r="O81" i="3"/>
  <c r="K81" i="3"/>
  <c r="N80" i="3"/>
  <c r="N79" i="3"/>
  <c r="M78" i="3"/>
  <c r="L78" i="3"/>
  <c r="Q77" i="3"/>
  <c r="P77" i="3"/>
  <c r="O77" i="3"/>
  <c r="N77" i="3"/>
  <c r="M77" i="3"/>
  <c r="L77" i="3"/>
  <c r="K77" i="3"/>
  <c r="X65" i="3"/>
  <c r="W65" i="3"/>
  <c r="V65" i="3"/>
  <c r="T65" i="3"/>
  <c r="S65" i="3"/>
  <c r="Q65" i="3"/>
  <c r="Q83" i="3" s="1"/>
  <c r="P65" i="3"/>
  <c r="P83" i="3" s="1"/>
  <c r="O65" i="3"/>
  <c r="O83" i="3" s="1"/>
  <c r="N65" i="3"/>
  <c r="N83" i="3" s="1"/>
  <c r="M65" i="3"/>
  <c r="M83" i="3" s="1"/>
  <c r="L65" i="3"/>
  <c r="L83" i="3" s="1"/>
  <c r="K65" i="3"/>
  <c r="K83" i="3" s="1"/>
  <c r="Y64" i="3"/>
  <c r="X64" i="3"/>
  <c r="V64" i="3"/>
  <c r="U64" i="3"/>
  <c r="T64" i="3"/>
  <c r="Q64" i="3"/>
  <c r="P64" i="3"/>
  <c r="P82" i="3" s="1"/>
  <c r="O64" i="3"/>
  <c r="O82" i="3" s="1"/>
  <c r="N64" i="3"/>
  <c r="N82" i="3" s="1"/>
  <c r="M64" i="3"/>
  <c r="M82" i="3" s="1"/>
  <c r="L64" i="3"/>
  <c r="K64" i="3"/>
  <c r="K82" i="3" s="1"/>
  <c r="X63" i="3"/>
  <c r="W63" i="3"/>
  <c r="V63" i="3"/>
  <c r="T63" i="3"/>
  <c r="S63" i="3"/>
  <c r="Q63" i="3"/>
  <c r="Y63" i="3" s="1"/>
  <c r="P63" i="3"/>
  <c r="O63" i="3"/>
  <c r="N63" i="3"/>
  <c r="N81" i="3" s="1"/>
  <c r="M63" i="3"/>
  <c r="U63" i="3" s="1"/>
  <c r="L63" i="3"/>
  <c r="L81" i="3" s="1"/>
  <c r="K63" i="3"/>
  <c r="Y62" i="3"/>
  <c r="X62" i="3"/>
  <c r="V62" i="3"/>
  <c r="U62" i="3"/>
  <c r="T62" i="3"/>
  <c r="Q62" i="3"/>
  <c r="Q80" i="3" s="1"/>
  <c r="P62" i="3"/>
  <c r="P80" i="3" s="1"/>
  <c r="O62" i="3"/>
  <c r="W62" i="3" s="1"/>
  <c r="N62" i="3"/>
  <c r="M62" i="3"/>
  <c r="M80" i="3" s="1"/>
  <c r="L62" i="3"/>
  <c r="L80" i="3" s="1"/>
  <c r="K62" i="3"/>
  <c r="S62" i="3" s="1"/>
  <c r="X61" i="3"/>
  <c r="W61" i="3"/>
  <c r="V61" i="3"/>
  <c r="T61" i="3"/>
  <c r="S61" i="3"/>
  <c r="Q61" i="3"/>
  <c r="Y61" i="3" s="1"/>
  <c r="P61" i="3"/>
  <c r="P79" i="3" s="1"/>
  <c r="O61" i="3"/>
  <c r="O79" i="3" s="1"/>
  <c r="N61" i="3"/>
  <c r="M61" i="3"/>
  <c r="M79" i="3" s="1"/>
  <c r="L61" i="3"/>
  <c r="L79" i="3" s="1"/>
  <c r="K61" i="3"/>
  <c r="K79" i="3" s="1"/>
  <c r="Y60" i="3"/>
  <c r="X60" i="3"/>
  <c r="V60" i="3"/>
  <c r="U60" i="3"/>
  <c r="T60" i="3"/>
  <c r="Q60" i="3"/>
  <c r="Q78" i="3" s="1"/>
  <c r="P60" i="3"/>
  <c r="P78" i="3" s="1"/>
  <c r="O60" i="3"/>
  <c r="W60" i="3" s="1"/>
  <c r="N60" i="3"/>
  <c r="N78" i="3" s="1"/>
  <c r="M60" i="3"/>
  <c r="L60" i="3"/>
  <c r="K60" i="3"/>
  <c r="K78" i="3" s="1"/>
  <c r="Y59" i="3"/>
  <c r="X59" i="3"/>
  <c r="W59" i="3"/>
  <c r="V59" i="3"/>
  <c r="U59" i="3"/>
  <c r="T59" i="3"/>
  <c r="S59" i="3"/>
  <c r="Q59" i="3"/>
  <c r="P59" i="3"/>
  <c r="O59" i="3"/>
  <c r="N59" i="3"/>
  <c r="M59" i="3"/>
  <c r="L59" i="3"/>
  <c r="K59" i="3"/>
  <c r="C74" i="3"/>
  <c r="C25" i="3"/>
  <c r="O80" i="3" l="1"/>
  <c r="Q81" i="3"/>
  <c r="S60" i="3"/>
  <c r="U61" i="3"/>
  <c r="S64" i="3"/>
  <c r="U65" i="3"/>
  <c r="O78" i="3"/>
  <c r="K80" i="3"/>
  <c r="Q79" i="3"/>
  <c r="M81" i="3"/>
  <c r="W64" i="3"/>
  <c r="Y65" i="3"/>
  <c r="C18" i="3"/>
  <c r="F19" i="3" s="1"/>
  <c r="F20" i="3" s="1"/>
  <c r="F22" i="3" s="1"/>
  <c r="C60" i="3"/>
  <c r="C51" i="3"/>
  <c r="K47" i="3"/>
  <c r="K48" i="3" s="1"/>
  <c r="K23" i="3"/>
  <c r="K24" i="3" s="1"/>
  <c r="C12" i="3"/>
  <c r="C13" i="3" s="1"/>
  <c r="F28" i="3" s="1"/>
  <c r="C32" i="3" s="1"/>
  <c r="C56" i="3" s="1"/>
  <c r="F56" i="3" s="1"/>
  <c r="C37" i="3" l="1"/>
  <c r="C38" i="3" s="1"/>
  <c r="F23" i="3"/>
  <c r="C24" i="3"/>
  <c r="E9" i="1"/>
  <c r="J13" i="1" s="1"/>
  <c r="D69" i="1"/>
  <c r="E69" i="1"/>
  <c r="E68" i="1"/>
  <c r="L63" i="1"/>
  <c r="L62" i="1"/>
  <c r="L61" i="1"/>
  <c r="L60" i="1"/>
  <c r="L59" i="1"/>
  <c r="L58" i="1"/>
  <c r="L57" i="1"/>
  <c r="R69" i="1"/>
  <c r="Q69" i="1"/>
  <c r="P69" i="1"/>
  <c r="O69" i="1"/>
  <c r="N69" i="1"/>
  <c r="M69" i="1"/>
  <c r="L69" i="1"/>
  <c r="K69" i="1"/>
  <c r="J69" i="1"/>
  <c r="I69" i="1"/>
  <c r="H69" i="1"/>
  <c r="G69" i="1"/>
  <c r="F69" i="1"/>
  <c r="R68" i="1"/>
  <c r="Q68" i="1"/>
  <c r="P68" i="1"/>
  <c r="O68" i="1"/>
  <c r="N68" i="1"/>
  <c r="M68" i="1"/>
  <c r="L68" i="1"/>
  <c r="K68" i="1"/>
  <c r="J68" i="1"/>
  <c r="I68" i="1"/>
  <c r="H68" i="1"/>
  <c r="G68" i="1"/>
  <c r="F68" i="1"/>
  <c r="J114" i="1"/>
  <c r="J18" i="1"/>
  <c r="J118" i="1" s="1"/>
  <c r="G35" i="1"/>
  <c r="H35" i="1" s="1"/>
  <c r="J15" i="1"/>
  <c r="C42" i="1"/>
  <c r="C43" i="1" s="1"/>
  <c r="D114" i="1"/>
  <c r="O115" i="1"/>
  <c r="J20" i="1"/>
  <c r="B35" i="1"/>
  <c r="C33" i="3" l="1"/>
  <c r="C68" i="3" s="1"/>
  <c r="F68" i="3" s="1"/>
  <c r="C41" i="1"/>
  <c r="D118" i="1"/>
  <c r="J22" i="1"/>
  <c r="J62" i="3"/>
  <c r="C61" i="3"/>
  <c r="C62" i="3" s="1"/>
  <c r="C64" i="3" s="1"/>
  <c r="C40" i="3"/>
  <c r="J120" i="1"/>
  <c r="J123" i="1" s="1"/>
  <c r="G36" i="1"/>
  <c r="O36" i="1" s="1"/>
  <c r="C51" i="1"/>
  <c r="C60" i="1" s="1"/>
  <c r="D120" i="1"/>
  <c r="D123" i="1" s="1"/>
  <c r="I35" i="1"/>
  <c r="P35" i="1"/>
  <c r="H36" i="1"/>
  <c r="C52" i="1"/>
  <c r="C61" i="1" s="1"/>
  <c r="C44" i="1"/>
  <c r="O35" i="1"/>
  <c r="J16" i="1"/>
  <c r="F35" i="1"/>
  <c r="G43" i="1" l="1"/>
  <c r="O43" i="1" s="1"/>
  <c r="O52" i="1" s="1"/>
  <c r="C50" i="1"/>
  <c r="C59" i="1" s="1"/>
  <c r="C40" i="1"/>
  <c r="F42" i="3"/>
  <c r="J71" i="3"/>
  <c r="J80" i="3" s="1"/>
  <c r="J61" i="3"/>
  <c r="J63" i="3"/>
  <c r="G42" i="1"/>
  <c r="E26" i="1"/>
  <c r="E29" i="1" s="1"/>
  <c r="G61" i="1"/>
  <c r="G52" i="1"/>
  <c r="G41" i="1"/>
  <c r="P36" i="1"/>
  <c r="H41" i="1"/>
  <c r="H43" i="1"/>
  <c r="H42" i="1"/>
  <c r="H44" i="1"/>
  <c r="H40" i="1"/>
  <c r="Q35" i="1"/>
  <c r="J35" i="1"/>
  <c r="I36" i="1"/>
  <c r="N35" i="1"/>
  <c r="F36" i="1"/>
  <c r="E35" i="1"/>
  <c r="C53" i="1"/>
  <c r="C62" i="1" s="1"/>
  <c r="C45" i="1"/>
  <c r="G44" i="1"/>
  <c r="C49" i="1" l="1"/>
  <c r="C58" i="1" s="1"/>
  <c r="H58" i="1" s="1"/>
  <c r="G40" i="1"/>
  <c r="C39" i="1"/>
  <c r="E27" i="1"/>
  <c r="E28" i="1" s="1"/>
  <c r="G51" i="1"/>
  <c r="O42" i="1"/>
  <c r="O51" i="1" s="1"/>
  <c r="G60" i="1"/>
  <c r="J64" i="3"/>
  <c r="J72" i="3"/>
  <c r="J81" i="3" s="1"/>
  <c r="J60" i="3"/>
  <c r="J70" i="3"/>
  <c r="J79" i="3" s="1"/>
  <c r="F43" i="3"/>
  <c r="F47" i="3" s="1"/>
  <c r="C48" i="3" s="1"/>
  <c r="P43" i="1"/>
  <c r="P52" i="1" s="1"/>
  <c r="H61" i="1"/>
  <c r="H52" i="1"/>
  <c r="P44" i="1"/>
  <c r="P53" i="1" s="1"/>
  <c r="H62" i="1"/>
  <c r="H53" i="1"/>
  <c r="P42" i="1"/>
  <c r="P51" i="1" s="1"/>
  <c r="H60" i="1"/>
  <c r="H51" i="1"/>
  <c r="P41" i="1"/>
  <c r="P50" i="1" s="1"/>
  <c r="H59" i="1"/>
  <c r="H50" i="1"/>
  <c r="O41" i="1"/>
  <c r="O50" i="1" s="1"/>
  <c r="G59" i="1"/>
  <c r="G50" i="1"/>
  <c r="O44" i="1"/>
  <c r="O53" i="1" s="1"/>
  <c r="G62" i="1"/>
  <c r="G53" i="1"/>
  <c r="P40" i="1"/>
  <c r="P49" i="1" s="1"/>
  <c r="H49" i="1"/>
  <c r="C54" i="1"/>
  <c r="C63" i="1" s="1"/>
  <c r="G45" i="1"/>
  <c r="I40" i="1"/>
  <c r="I42" i="1"/>
  <c r="I44" i="1"/>
  <c r="Q36" i="1"/>
  <c r="I39" i="1"/>
  <c r="I43" i="1"/>
  <c r="I41" i="1"/>
  <c r="I45" i="1"/>
  <c r="H45" i="1"/>
  <c r="J36" i="1"/>
  <c r="R35" i="1"/>
  <c r="D35" i="1"/>
  <c r="E36" i="1"/>
  <c r="M35" i="1"/>
  <c r="F44" i="1"/>
  <c r="F39" i="1"/>
  <c r="F40" i="1"/>
  <c r="F43" i="1"/>
  <c r="F42" i="1"/>
  <c r="F45" i="1"/>
  <c r="F41" i="1"/>
  <c r="N36" i="1"/>
  <c r="C48" i="1" l="1"/>
  <c r="C57" i="1" s="1"/>
  <c r="G39" i="1"/>
  <c r="H39" i="1"/>
  <c r="G49" i="1"/>
  <c r="O40" i="1"/>
  <c r="O49" i="1" s="1"/>
  <c r="G58" i="1"/>
  <c r="C67" i="3"/>
  <c r="C49" i="3"/>
  <c r="J65" i="3"/>
  <c r="J74" i="3" s="1"/>
  <c r="J83" i="3" s="1"/>
  <c r="J73" i="3"/>
  <c r="J82" i="3" s="1"/>
  <c r="J59" i="3"/>
  <c r="J68" i="3" s="1"/>
  <c r="J77" i="3" s="1"/>
  <c r="J69" i="3"/>
  <c r="J78" i="3" s="1"/>
  <c r="Q43" i="1"/>
  <c r="Q52" i="1" s="1"/>
  <c r="I61" i="1"/>
  <c r="I52" i="1"/>
  <c r="N41" i="1"/>
  <c r="N50" i="1" s="1"/>
  <c r="F59" i="1"/>
  <c r="F50" i="1"/>
  <c r="N42" i="1"/>
  <c r="N51" i="1" s="1"/>
  <c r="F60" i="1"/>
  <c r="F51" i="1"/>
  <c r="Q40" i="1"/>
  <c r="Q49" i="1" s="1"/>
  <c r="I58" i="1"/>
  <c r="I49" i="1"/>
  <c r="Q39" i="1"/>
  <c r="Q48" i="1" s="1"/>
  <c r="I57" i="1"/>
  <c r="I48" i="1"/>
  <c r="N45" i="1"/>
  <c r="N54" i="1" s="1"/>
  <c r="F63" i="1"/>
  <c r="F54" i="1"/>
  <c r="N43" i="1"/>
  <c r="N52" i="1" s="1"/>
  <c r="F61" i="1"/>
  <c r="F52" i="1"/>
  <c r="Q42" i="1"/>
  <c r="Q51" i="1" s="1"/>
  <c r="I60" i="1"/>
  <c r="I51" i="1"/>
  <c r="N40" i="1"/>
  <c r="N49" i="1" s="1"/>
  <c r="F58" i="1"/>
  <c r="F49" i="1"/>
  <c r="N39" i="1"/>
  <c r="N48" i="1" s="1"/>
  <c r="F57" i="1"/>
  <c r="F48" i="1"/>
  <c r="O45" i="1"/>
  <c r="O54" i="1" s="1"/>
  <c r="G63" i="1"/>
  <c r="G54" i="1"/>
  <c r="Q44" i="1"/>
  <c r="Q53" i="1" s="1"/>
  <c r="I62" i="1"/>
  <c r="I53" i="1"/>
  <c r="P45" i="1"/>
  <c r="P54" i="1" s="1"/>
  <c r="H63" i="1"/>
  <c r="H54" i="1"/>
  <c r="Q45" i="1"/>
  <c r="Q54" i="1" s="1"/>
  <c r="I63" i="1"/>
  <c r="I54" i="1"/>
  <c r="N44" i="1"/>
  <c r="N53" i="1" s="1"/>
  <c r="F62" i="1"/>
  <c r="F53" i="1"/>
  <c r="Q41" i="1"/>
  <c r="Q50" i="1" s="1"/>
  <c r="I59" i="1"/>
  <c r="I50" i="1"/>
  <c r="E45" i="1"/>
  <c r="E44" i="1"/>
  <c r="E41" i="1"/>
  <c r="E43" i="1"/>
  <c r="M36" i="1"/>
  <c r="E39" i="1"/>
  <c r="E42" i="1"/>
  <c r="E40" i="1"/>
  <c r="J39" i="1"/>
  <c r="J45" i="1"/>
  <c r="J43" i="1"/>
  <c r="J40" i="1"/>
  <c r="J42" i="1"/>
  <c r="J44" i="1"/>
  <c r="R36" i="1"/>
  <c r="J41" i="1"/>
  <c r="D36" i="1"/>
  <c r="L35" i="1"/>
  <c r="H57" i="1" l="1"/>
  <c r="P39" i="1"/>
  <c r="P48" i="1" s="1"/>
  <c r="H48" i="1"/>
  <c r="G48" i="1"/>
  <c r="G57" i="1"/>
  <c r="O39" i="1"/>
  <c r="O48" i="1" s="1"/>
  <c r="C72" i="3"/>
  <c r="F67" i="3"/>
  <c r="N56" i="3"/>
  <c r="C55" i="3"/>
  <c r="R40" i="1"/>
  <c r="R49" i="1" s="1"/>
  <c r="J58" i="1"/>
  <c r="J49" i="1"/>
  <c r="M43" i="1"/>
  <c r="M52" i="1" s="1"/>
  <c r="E61" i="1"/>
  <c r="E52" i="1"/>
  <c r="R43" i="1"/>
  <c r="R52" i="1" s="1"/>
  <c r="J52" i="1"/>
  <c r="J61" i="1"/>
  <c r="M40" i="1"/>
  <c r="M49" i="1" s="1"/>
  <c r="E58" i="1"/>
  <c r="E49" i="1"/>
  <c r="M39" i="1"/>
  <c r="M48" i="1" s="1"/>
  <c r="E57" i="1"/>
  <c r="E48" i="1"/>
  <c r="R42" i="1"/>
  <c r="R51" i="1" s="1"/>
  <c r="J60" i="1"/>
  <c r="J51" i="1"/>
  <c r="M41" i="1"/>
  <c r="M50" i="1" s="1"/>
  <c r="E59" i="1"/>
  <c r="E50" i="1"/>
  <c r="M44" i="1"/>
  <c r="M53" i="1" s="1"/>
  <c r="E62" i="1"/>
  <c r="E53" i="1"/>
  <c r="R41" i="1"/>
  <c r="R50" i="1" s="1"/>
  <c r="J59" i="1"/>
  <c r="J50" i="1"/>
  <c r="M42" i="1"/>
  <c r="M51" i="1" s="1"/>
  <c r="E60" i="1"/>
  <c r="E51" i="1"/>
  <c r="R44" i="1"/>
  <c r="R53" i="1" s="1"/>
  <c r="J62" i="1"/>
  <c r="J53" i="1"/>
  <c r="R45" i="1"/>
  <c r="R54" i="1" s="1"/>
  <c r="J63" i="1"/>
  <c r="J54" i="1"/>
  <c r="R39" i="1"/>
  <c r="R48" i="1" s="1"/>
  <c r="J57" i="1"/>
  <c r="J48" i="1"/>
  <c r="M45" i="1"/>
  <c r="M54" i="1" s="1"/>
  <c r="E63" i="1"/>
  <c r="E54" i="1"/>
  <c r="D40" i="1"/>
  <c r="L36" i="1"/>
  <c r="D45" i="1"/>
  <c r="D39" i="1"/>
  <c r="L39" i="1" s="1"/>
  <c r="D41" i="1"/>
  <c r="D44" i="1"/>
  <c r="D42" i="1"/>
  <c r="D43" i="1"/>
  <c r="C73" i="3" l="1"/>
  <c r="F72" i="3"/>
  <c r="V56" i="3"/>
  <c r="M56" i="3"/>
  <c r="O56" i="3"/>
  <c r="C57" i="3"/>
  <c r="C69" i="3" s="1"/>
  <c r="F55" i="3"/>
  <c r="F57" i="3" s="1"/>
  <c r="F69" i="3" s="1"/>
  <c r="L44" i="1"/>
  <c r="L53" i="1" s="1"/>
  <c r="D62" i="1"/>
  <c r="D53" i="1"/>
  <c r="L48" i="1"/>
  <c r="D57" i="1"/>
  <c r="D48" i="1"/>
  <c r="L45" i="1"/>
  <c r="L54" i="1" s="1"/>
  <c r="D54" i="1"/>
  <c r="D63" i="1"/>
  <c r="L42" i="1"/>
  <c r="L51" i="1" s="1"/>
  <c r="D51" i="1"/>
  <c r="D60" i="1"/>
  <c r="L41" i="1"/>
  <c r="L50" i="1" s="1"/>
  <c r="D59" i="1"/>
  <c r="D50" i="1"/>
  <c r="L40" i="1"/>
  <c r="L49" i="1" s="1"/>
  <c r="D58" i="1"/>
  <c r="D49" i="1"/>
  <c r="L43" i="1"/>
  <c r="L52" i="1" s="1"/>
  <c r="D61" i="1"/>
  <c r="D52" i="1"/>
  <c r="N71" i="3" l="1"/>
  <c r="U56" i="3"/>
  <c r="L56" i="3"/>
  <c r="V70" i="3"/>
  <c r="N70" i="3"/>
  <c r="V68" i="3"/>
  <c r="N68" i="3"/>
  <c r="V72" i="3"/>
  <c r="N72" i="3"/>
  <c r="V73" i="3"/>
  <c r="N73" i="3"/>
  <c r="V74" i="3"/>
  <c r="N74" i="3"/>
  <c r="P56" i="3"/>
  <c r="W56" i="3"/>
  <c r="V69" i="3"/>
  <c r="N69" i="3"/>
  <c r="U68" i="3" l="1"/>
  <c r="M68" i="3"/>
  <c r="U69" i="3"/>
  <c r="M69" i="3"/>
  <c r="W70" i="3"/>
  <c r="O70" i="3"/>
  <c r="U70" i="3"/>
  <c r="M70" i="3"/>
  <c r="W71" i="3"/>
  <c r="O71" i="3"/>
  <c r="W73" i="3"/>
  <c r="O73" i="3"/>
  <c r="T56" i="3"/>
  <c r="K56" i="3"/>
  <c r="W68" i="3"/>
  <c r="O68" i="3"/>
  <c r="Q56" i="3"/>
  <c r="X56" i="3"/>
  <c r="U71" i="3"/>
  <c r="M71" i="3"/>
  <c r="U72" i="3"/>
  <c r="M72" i="3"/>
  <c r="W74" i="3"/>
  <c r="O74" i="3"/>
  <c r="U74" i="3"/>
  <c r="M74" i="3"/>
  <c r="W69" i="3"/>
  <c r="O69" i="3"/>
  <c r="W72" i="3"/>
  <c r="O72" i="3"/>
  <c r="U73" i="3"/>
  <c r="M73" i="3"/>
  <c r="C77" i="3"/>
  <c r="F77" i="3" s="1"/>
  <c r="V71" i="3"/>
  <c r="C78" i="3" s="1"/>
  <c r="T72" i="3" l="1"/>
  <c r="L72" i="3"/>
  <c r="X74" i="3"/>
  <c r="P74" i="3"/>
  <c r="T73" i="3"/>
  <c r="L73" i="3"/>
  <c r="X69" i="3"/>
  <c r="P69" i="3"/>
  <c r="T69" i="3"/>
  <c r="L69" i="3"/>
  <c r="X68" i="3"/>
  <c r="P68" i="3"/>
  <c r="X70" i="3"/>
  <c r="P70" i="3"/>
  <c r="S56" i="3"/>
  <c r="T68" i="3"/>
  <c r="L68" i="3"/>
  <c r="X71" i="3"/>
  <c r="P71" i="3"/>
  <c r="T70" i="3"/>
  <c r="L70" i="3"/>
  <c r="X72" i="3"/>
  <c r="P72" i="3"/>
  <c r="T74" i="3"/>
  <c r="L74" i="3"/>
  <c r="Y56" i="3"/>
  <c r="X73" i="3"/>
  <c r="P73" i="3"/>
  <c r="T71" i="3"/>
  <c r="L71" i="3"/>
  <c r="Y73" i="3" l="1"/>
  <c r="Q73" i="3"/>
  <c r="Y74" i="3"/>
  <c r="Q74" i="3"/>
  <c r="S73" i="3"/>
  <c r="K73" i="3"/>
  <c r="S74" i="3"/>
  <c r="K74" i="3"/>
  <c r="Y68" i="3"/>
  <c r="Q68" i="3"/>
  <c r="S70" i="3"/>
  <c r="K70" i="3"/>
  <c r="S68" i="3"/>
  <c r="K68" i="3"/>
  <c r="Y72" i="3"/>
  <c r="Q72" i="3"/>
  <c r="S69" i="3"/>
  <c r="K69" i="3"/>
  <c r="Y70" i="3"/>
  <c r="Q70" i="3"/>
  <c r="S71" i="3"/>
  <c r="K71" i="3"/>
  <c r="Y71" i="3"/>
  <c r="Q71" i="3"/>
  <c r="Y69" i="3"/>
  <c r="Q69" i="3"/>
  <c r="S72" i="3"/>
  <c r="K72" i="3"/>
</calcChain>
</file>

<file path=xl/sharedStrings.xml><?xml version="1.0" encoding="utf-8"?>
<sst xmlns="http://schemas.openxmlformats.org/spreadsheetml/2006/main" count="256" uniqueCount="234">
  <si>
    <t>Name:</t>
  </si>
  <si>
    <t>Date:</t>
  </si>
  <si>
    <t>File:</t>
  </si>
  <si>
    <t>Paddock</t>
  </si>
  <si>
    <t>Traded</t>
  </si>
  <si>
    <t>Weights</t>
  </si>
  <si>
    <t>Purchase weight</t>
  </si>
  <si>
    <t>Purchase price $/kg live, landed</t>
  </si>
  <si>
    <t>Start date</t>
  </si>
  <si>
    <t>Sale weight (live)</t>
  </si>
  <si>
    <t>End date</t>
  </si>
  <si>
    <t>Days on forage</t>
  </si>
  <si>
    <t>Dressing % @ sale</t>
  </si>
  <si>
    <t>To generate liveweight sale prices, enter 100%</t>
  </si>
  <si>
    <t>Dressed weight at sale (kg)</t>
  </si>
  <si>
    <t>Mortality</t>
  </si>
  <si>
    <t>Gross margin/beast purchased</t>
  </si>
  <si>
    <t>Gross margin/adult equivalent/year</t>
  </si>
  <si>
    <t>Gross margin/adult equivalent/month</t>
  </si>
  <si>
    <t>Return on investment % per yr</t>
  </si>
  <si>
    <t>Sale price increment ($/kg DW) for sensitivity table .....</t>
  </si>
  <si>
    <t>Buy price increment ($/kg live) for sensitivity table .......</t>
  </si>
  <si>
    <t>Sale price $/kg live</t>
  </si>
  <si>
    <t xml:space="preserve">  Purchase Prices:</t>
  </si>
  <si>
    <t>Gross margin/beast</t>
  </si>
  <si>
    <t>Gross margin/beast less interest cost</t>
  </si>
  <si>
    <t>Gross margin per adult equivalent (GM/AE)</t>
  </si>
  <si>
    <t>Gross margin/AE less interest cost</t>
  </si>
  <si>
    <t>Percent return/yr on capital invested in cattle and variable costs</t>
  </si>
  <si>
    <t>SUMMARIES OF SUCCESSIVE RUNS OF BULLOCKS:</t>
  </si>
  <si>
    <t>Purchase weight (paddock) .....</t>
  </si>
  <si>
    <t>Purchase weight (traded) ........</t>
  </si>
  <si>
    <t>Purchase price/kg landed ........</t>
  </si>
  <si>
    <t>Sale weight live (paddock)  ......</t>
  </si>
  <si>
    <t>Sale weight live (traded) ...........</t>
  </si>
  <si>
    <t>Sale weight dressed ................</t>
  </si>
  <si>
    <t>Dressing % ............................</t>
  </si>
  <si>
    <t>Sale price/kg live ....................</t>
  </si>
  <si>
    <t>Sale price/kg dressed .............</t>
  </si>
  <si>
    <t>AE standard (kg) ....................</t>
  </si>
  <si>
    <t>Calculated AE rating ...............</t>
  </si>
  <si>
    <t>Start date ...............................</t>
  </si>
  <si>
    <t>End date ................................</t>
  </si>
  <si>
    <t>Days on forage .......................</t>
  </si>
  <si>
    <t>Average daily gain (paddock wt)</t>
  </si>
  <si>
    <t>Mortality % ............................</t>
  </si>
  <si>
    <t>Interest rate ............................</t>
  </si>
  <si>
    <t>Sensitivity increment - sale price</t>
  </si>
  <si>
    <t>Sensitivity increment - buy price</t>
  </si>
  <si>
    <t xml:space="preserve">Gross margin/beast purchased </t>
  </si>
  <si>
    <t>Gross margin per AE/yr  ...........</t>
  </si>
  <si>
    <t>GM/AE/yr after interest .............</t>
  </si>
  <si>
    <t>CALCULATE LANDED COST/KG:</t>
  </si>
  <si>
    <t>CALCULATE NET SELLING COST/KG:</t>
  </si>
  <si>
    <t>CALCULATE TRANSPORT COST/HD:</t>
  </si>
  <si>
    <t xml:space="preserve">       (Purchases are liveweight)</t>
  </si>
  <si>
    <t xml:space="preserve">       (Sales are dressed weight)</t>
  </si>
  <si>
    <t>Travel costs</t>
  </si>
  <si>
    <t>Transport cost $/deck/km</t>
  </si>
  <si>
    <t>Number purchased</t>
  </si>
  <si>
    <t>Commission &amp; insurance %</t>
  </si>
  <si>
    <t>Distance km</t>
  </si>
  <si>
    <t>Number of head per deck</t>
  </si>
  <si>
    <t>Transaction levy, yard dues etc</t>
  </si>
  <si>
    <t xml:space="preserve">         Note:</t>
  </si>
  <si>
    <t>If using this calculator for net selling price, we suggest first</t>
  </si>
  <si>
    <t>entering gross price/kg under "Sale price $/kg DW net" to</t>
  </si>
  <si>
    <t>Buying cost per kg</t>
  </si>
  <si>
    <t>Selling cost per kg dressed</t>
  </si>
  <si>
    <t>Gross sale price/kg</t>
  </si>
  <si>
    <t>net price enter the result as "Sale price $/kg DW net".</t>
  </si>
  <si>
    <t>To transfer net sale price from calculator to</t>
  </si>
  <si>
    <t>Landed purchase cost/kg</t>
  </si>
  <si>
    <t>Net sale price/kg dressed</t>
  </si>
  <si>
    <t>"Sale price $/kg DW net" double click here.</t>
  </si>
  <si>
    <t>ESTIMATE NUMBER PER DECK FOR TRANSPORT -</t>
  </si>
  <si>
    <t>Average</t>
  </si>
  <si>
    <t>Liveweight</t>
  </si>
  <si>
    <t>(12.2 m)</t>
  </si>
  <si>
    <t>Explanations of Calculations:</t>
  </si>
  <si>
    <t xml:space="preserve">  * Purchase price is $/kg live, landed cost - i.e. include buying costs and transport home - see calculators for buying and selling costs at bottom of worksheet page.</t>
  </si>
  <si>
    <t xml:space="preserve">  * Selling price is $/kg dressed weight, net of selling and freight costs. Conversion to $/kg live will be displayed at the top of the sensitivity tables.</t>
  </si>
  <si>
    <t xml:space="preserve">  * Capital for the above comprises average of purchase and sale price, allowing for losses, plus half the variable cost (using only half allows for costs incurred over time).</t>
  </si>
  <si>
    <t xml:space="preserve">  * Increment for sale price and buy price change sets the headings for the sensitivity tables, up and down from the initial purchase and selling prices.</t>
  </si>
  <si>
    <t xml:space="preserve">  * Sensitivity tables show calculations for a range of prices above and below the initial calculation (initial calculation shown in blue).</t>
  </si>
  <si>
    <t>Dressing % and Shrinkage:</t>
  </si>
  <si>
    <t>* Atherton Tablelands (Bernie English) suggest Bullocks 54% dressing, heifers 52% and cows 49% after short trip from paddock to kill.</t>
  </si>
  <si>
    <t xml:space="preserve">   Transport shrinkage can be 7% to 12%. Dressing and transport both highly variable.</t>
  </si>
  <si>
    <t xml:space="preserve">    or a reduction of sale prices by deaths %.</t>
  </si>
  <si>
    <t>* Theres is NO provision for electronic transfer of Bullocks data into Dynamaplus.</t>
  </si>
  <si>
    <t>Using Bullocks data in Dynama:</t>
  </si>
  <si>
    <t>* Bullocks data (inlcuding deaths %) will be fine in Dynamaplus so long as purchases occur in one year and sales in the next year (or later).</t>
  </si>
  <si>
    <t>* If steers are purchased and sold within the budget year, the death % entered in Dynamaplus will NOT take effect, since it is calculated on opening number + purchases - sales.</t>
  </si>
  <si>
    <t>* SO if you need to show a within-year steer trade in Dynamaplus, deaths have to be covered by other means - either a pseudo-variable cost = deaths % x net sale price,</t>
  </si>
  <si>
    <t xml:space="preserve">  * Purchase and sale weights may be less than paddock weights (used for adult equivalent calculation) due to transport or curfew shrinkage.</t>
  </si>
  <si>
    <t xml:space="preserve">  * Variable cost/head is for husbandry, animal health, feed and handling costs that meet the test of "one more animal, one more unit of cost".</t>
  </si>
  <si>
    <t xml:space="preserve">  * Gross margin per adult equivalent is the gross margin per beast divided by the adult equivalent rating (AE rating reflects weight and time on feed, so this is GM per AE for one year).</t>
  </si>
  <si>
    <t xml:space="preserve">  * Return on investment per year is the gross margin divided by average capital in livestock and expenses, adjusted for the time that capital is in use.</t>
  </si>
  <si>
    <t xml:space="preserve">  * The calculated adult equivalent (AE) rating is based on average weight relative to 455 kg, and time on forage relative to 365 days.</t>
  </si>
  <si>
    <t xml:space="preserve">  * Gross margin per beast purchased is sale price times survival %, less purchase price, less variable cost.</t>
  </si>
  <si>
    <t>Variable cost/head</t>
  </si>
  <si>
    <t>Interest rate (per annum)</t>
  </si>
  <si>
    <t>Adult Equivalent (AE) standard weight (kg)</t>
  </si>
  <si>
    <t>Sale price $/kg Dressed Weight (DW) net</t>
  </si>
  <si>
    <t>Adult Equivalents per head</t>
  </si>
  <si>
    <t>Purchase price/head landed ........</t>
  </si>
  <si>
    <t>Sale price/head net ....................</t>
  </si>
  <si>
    <t>Average weight for AE calculation ....</t>
  </si>
  <si>
    <t>Variable cost/head .....................</t>
  </si>
  <si>
    <t>Gross margin per AE/month  ........</t>
  </si>
  <si>
    <t>GM/AE/month after interest ..........</t>
  </si>
  <si>
    <t>Gross sale price $/head</t>
  </si>
  <si>
    <t>Travel cost/head</t>
  </si>
  <si>
    <t>Commission &amp; insurance/head</t>
  </si>
  <si>
    <t>Transport cost/head</t>
  </si>
  <si>
    <t>Induction cost/head</t>
  </si>
  <si>
    <t>Average purchase weight live</t>
  </si>
  <si>
    <t>Average sale weight dressed</t>
  </si>
  <si>
    <t>determine gross price/head. When finished calculating</t>
  </si>
  <si>
    <t>Nominal purchase price/kg</t>
  </si>
  <si>
    <t>Head/deck</t>
  </si>
  <si>
    <t>Average daily gain (kg)</t>
  </si>
  <si>
    <t>Purchase price/head (landed)</t>
  </si>
  <si>
    <t>Sale price/head (net)</t>
  </si>
  <si>
    <t>Average wt for AE calculation</t>
  </si>
  <si>
    <t>Note Pad:</t>
  </si>
  <si>
    <t>Software devised by W.E.Holmes, Townsville, Qld</t>
  </si>
  <si>
    <t>Primary Industries Report Series 77. Publishers: CSIRO. Available at http://www.publish.csiro.au/nid/22/pid/2483.htm</t>
  </si>
  <si>
    <t>Source for loading density: SCARM (2002) Australian Model Code of Practice for the Welfare of Animals. Land Transport of Cattle.</t>
  </si>
  <si>
    <t xml:space="preserve">  * Start date and end date are entered as date format. Enter as 01/12/2013</t>
  </si>
  <si>
    <t>BULLOCKS - Gross Margin Calculator for Purchased Steers - Version 6.02</t>
  </si>
  <si>
    <t>Enter dates in the exact form 01-Jan-2016 or Jan-2016 (three letters for month, four digits for year).</t>
  </si>
  <si>
    <t>DRY CATTLE TRADING CALCULATOR (BULLOCKS)</t>
  </si>
  <si>
    <t>Devised by W.E Holmes and M.T. Sullivan, DAF Queensland</t>
  </si>
  <si>
    <t>All prices and costs are GST exclusive</t>
  </si>
  <si>
    <t>Enter data in yellow cells</t>
  </si>
  <si>
    <t xml:space="preserve">Property </t>
  </si>
  <si>
    <t>Drought retention of steers</t>
  </si>
  <si>
    <t>Cattle description</t>
  </si>
  <si>
    <t>Yearling steers</t>
  </si>
  <si>
    <t>No of head</t>
  </si>
  <si>
    <t>Date in</t>
  </si>
  <si>
    <t>Date out</t>
  </si>
  <si>
    <t>Days owned</t>
  </si>
  <si>
    <t>Weeks owned</t>
  </si>
  <si>
    <t>Purchase liveweight (kg)</t>
  </si>
  <si>
    <t>Transport cost per head calculator</t>
  </si>
  <si>
    <t>Number transported</t>
  </si>
  <si>
    <t>Distance (Km)</t>
  </si>
  <si>
    <t>$ per Km</t>
  </si>
  <si>
    <t>Total purchase costs ($/hd)</t>
  </si>
  <si>
    <t>Rate on Truck</t>
  </si>
  <si>
    <t>Total purchase costs ($/kg)</t>
  </si>
  <si>
    <t>Total</t>
  </si>
  <si>
    <t>Per head</t>
  </si>
  <si>
    <t>Variable costs</t>
  </si>
  <si>
    <t>Transport Loading Density Guide</t>
  </si>
  <si>
    <t>Agistment ($/hd/week)</t>
  </si>
  <si>
    <t>Total agistment ($/hd)</t>
  </si>
  <si>
    <t>Source for loading density: Kaus, Lapworth and Dunn "Marketing Cattle  to South-East Asia"</t>
  </si>
  <si>
    <t>Health costs ($/hd)</t>
  </si>
  <si>
    <t>Maximum for lighter cattle = 44/deck</t>
  </si>
  <si>
    <t>Supplement costs ($/hd)</t>
  </si>
  <si>
    <t>Head Per</t>
  </si>
  <si>
    <t>Management costs ($/hd)</t>
  </si>
  <si>
    <t>12.2m deck</t>
  </si>
  <si>
    <t>Total variable costs ($/hd)</t>
  </si>
  <si>
    <t>Opening value + variable costs ($/hd)</t>
  </si>
  <si>
    <t>Sale weight and price</t>
  </si>
  <si>
    <t>Average daily liveweight gain (kg/hd/day)</t>
  </si>
  <si>
    <t>Total liveweight gain (kg)</t>
  </si>
  <si>
    <t>Paddock weight</t>
  </si>
  <si>
    <t>Weight loss to sale</t>
  </si>
  <si>
    <t>Sale liveweight (kg)</t>
  </si>
  <si>
    <t>Expected selling price ($/kg liveweight)</t>
  </si>
  <si>
    <t>Final price ($/hd)</t>
  </si>
  <si>
    <t>Commission (%)</t>
  </si>
  <si>
    <t>Commission ($/hd)</t>
  </si>
  <si>
    <t>MLA Levy ($/hd)</t>
  </si>
  <si>
    <t>Yard fees ($/hd)</t>
  </si>
  <si>
    <t>Other selling costs ($/hd)</t>
  </si>
  <si>
    <t>Selling freight ($/hd)</t>
  </si>
  <si>
    <t>Total selling costs ($/hd)</t>
  </si>
  <si>
    <t>Net selling price ($/hd)</t>
  </si>
  <si>
    <t>Net selling price ($/kg)</t>
  </si>
  <si>
    <t>Losses (%)</t>
  </si>
  <si>
    <t>Animals sold</t>
  </si>
  <si>
    <t>Sale price increment for sensitivity table .....</t>
  </si>
  <si>
    <t>Buy price increment for sensitivity table .......</t>
  </si>
  <si>
    <t>Interest costs</t>
  </si>
  <si>
    <t>Interest rate (%)</t>
  </si>
  <si>
    <t>Interest cost - Cattle &amp; induction ($/hd)</t>
  </si>
  <si>
    <t>Interest cost - Cattle &amp; induction (Total $)</t>
  </si>
  <si>
    <t>Interest cost - Variable costs ($/hd)</t>
  </si>
  <si>
    <t>Interest cost - Variable costs (Total $)</t>
  </si>
  <si>
    <t>Interest cost ($/hd)</t>
  </si>
  <si>
    <t>Total interest cost ($)</t>
  </si>
  <si>
    <t>Adult equivalent calculations</t>
  </si>
  <si>
    <t>Paddock liveweight at sale(kg)</t>
  </si>
  <si>
    <t>Average liveweight (kg)</t>
  </si>
  <si>
    <t>Weight for adult equivalent rating</t>
  </si>
  <si>
    <t>Adult equivalents per head</t>
  </si>
  <si>
    <t xml:space="preserve">Gross margin calculations </t>
  </si>
  <si>
    <t>Total Gross margin calculations</t>
  </si>
  <si>
    <t>Net value of cattle sold ($)</t>
  </si>
  <si>
    <t>Total Net value of cattle sold ($)</t>
  </si>
  <si>
    <t>Purchase, induction &amp; variable costs ($)</t>
  </si>
  <si>
    <t>Total Purchase, induction &amp; variable costs ($)</t>
  </si>
  <si>
    <t xml:space="preserve"> Purchase, induction &amp; variable costs + interest ($)</t>
  </si>
  <si>
    <t xml:space="preserve"> Total Purchase, induction &amp; variable costs + interest ($)</t>
  </si>
  <si>
    <t>Gross margin before interest</t>
  </si>
  <si>
    <t>Gross margin per beast purchased($)</t>
  </si>
  <si>
    <t>Total Gross margin ($)</t>
  </si>
  <si>
    <t>Gross margin ($/AE)</t>
  </si>
  <si>
    <t>Return on investment (livestock + costs) (%)</t>
  </si>
  <si>
    <t>Gross margin after interest</t>
  </si>
  <si>
    <t>Percent return/yr. on capital invested in cattle and variable costs</t>
  </si>
  <si>
    <t>Gross margin after interest ($)</t>
  </si>
  <si>
    <t>Total Gross margin after interest($)</t>
  </si>
  <si>
    <t>Gross margin ($/AE after interest)</t>
  </si>
  <si>
    <t>Opening value (on farm)</t>
  </si>
  <si>
    <t>Liveweight in the paddock (kg)</t>
  </si>
  <si>
    <t>weight loss to point of sale</t>
  </si>
  <si>
    <t>Liveweight at point of sale</t>
  </si>
  <si>
    <t>Sale price ($/kg liveweight)</t>
  </si>
  <si>
    <t>Gross sale price ($/hd)</t>
  </si>
  <si>
    <t>Commission and insurance on sales</t>
  </si>
  <si>
    <t>Transport cost to point of sale</t>
  </si>
  <si>
    <t>Other selling costs ($/head)</t>
  </si>
  <si>
    <t>Steer value net of selling expenses ($/hd)</t>
  </si>
  <si>
    <t>Rate of commission</t>
  </si>
  <si>
    <t>Net sale price ($/kg)</t>
  </si>
  <si>
    <t>Retention of steers value for comparison to keeping and feeding PTIC cows</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</si>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</sst>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4" formatCode="_-&quot;$&quot;* #,##0.00_-;\-&quot;$&quot;* #,##0.00_-;_-&quot;$&quot;* &quot;-&quot;??_-;_-@_-"/>
    <numFmt numFmtId="164" formatCode="0_)"/>
    <numFmt numFmtId="165" formatCode="0.00_)"/>
    <numFmt numFmtId="166" formatCode="mmm\-yy_)"/>
    <numFmt numFmtId="167" formatCode="dd\-mmm\-yyyy;@"/>
    <numFmt numFmtId="168" formatCode="&quot;$&quot;#,##0.00_)"/>
    <numFmt numFmtId="169" formatCode="&quot;$&quot;#,##0_)"/>
    <numFmt numFmtId="170" formatCode="0.0000_)"/>
    <numFmt numFmtId="171" formatCode="&quot;$&quot;#,##0.00"/>
    <numFmt numFmtId="172" formatCode="&quot;$&quot;#,##0"/>
  </numFmts>
  <fonts count="18" x14ac:knownFonts="1">
    <font>
      <sz val="10"/>
      <name val="Courier"/>
    </font>
    <font>
      <sz val="10"/>
      <name val="Arial"/>
      <family val="2"/>
    </font>
    <font>
      <sz val="10"/>
      <name val="Arial"/>
      <family val="2"/>
    </font>
    <font>
      <b/>
      <sz val="10"/>
      <name val="Arial"/>
      <family val="2"/>
    </font>
    <font>
      <sz val="10"/>
      <name val="Courier"/>
    </font>
    <font>
      <sz val="10"/>
      <name val="Courier"/>
      <family val="3"/>
    </font>
    <font>
      <sz val="12"/>
      <name val="Arial"/>
      <family val="2"/>
    </font>
    <font>
      <b/>
      <sz val="12"/>
      <name val="Arial"/>
      <family val="2"/>
    </font>
    <font>
      <i/>
      <sz val="12"/>
      <color indexed="16"/>
      <name val="Arial"/>
      <family val="2"/>
    </font>
    <font>
      <i/>
      <sz val="12"/>
      <name val="Arial"/>
      <family val="2"/>
    </font>
    <font>
      <sz val="12"/>
      <color indexed="12"/>
      <name val="Arial"/>
      <family val="2"/>
    </font>
    <font>
      <sz val="12"/>
      <color indexed="16"/>
      <name val="Arial"/>
      <family val="2"/>
    </font>
    <font>
      <sz val="12"/>
      <color indexed="9"/>
      <name val="Arial"/>
      <family val="2"/>
    </font>
    <font>
      <b/>
      <i/>
      <sz val="12"/>
      <name val="Arial"/>
      <family val="2"/>
    </font>
    <font>
      <sz val="12"/>
      <color indexed="8"/>
      <name val="Arial"/>
      <family val="2"/>
    </font>
    <font>
      <b/>
      <u/>
      <sz val="12"/>
      <name val="Arial"/>
      <family val="2"/>
    </font>
    <font>
      <sz val="12"/>
      <color indexed="24"/>
      <name val="Arial"/>
      <family val="2"/>
    </font>
    <font>
      <sz val="12"/>
      <color rgb="FF0000FF"/>
      <name val="Arial"/>
      <family val="2"/>
    </font>
  </fonts>
  <fills count="1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38"/>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165" fontId="5" fillId="0" borderId="0"/>
    <xf numFmtId="0" fontId="6" fillId="0" borderId="0"/>
    <xf numFmtId="0" fontId="3" fillId="0" borderId="0"/>
    <xf numFmtId="0" fontId="1" fillId="0" borderId="0"/>
    <xf numFmtId="0" fontId="1" fillId="0" borderId="0"/>
  </cellStyleXfs>
  <cellXfs count="234">
    <xf numFmtId="0" fontId="0" fillId="0" borderId="0" xfId="0"/>
    <xf numFmtId="0" fontId="2" fillId="0" borderId="0" xfId="0" applyFont="1" applyAlignment="1">
      <alignment wrapText="1"/>
    </xf>
    <xf numFmtId="0" fontId="2"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left" wrapText="1"/>
    </xf>
    <xf numFmtId="0" fontId="7" fillId="0" borderId="0" xfId="0" applyFont="1" applyProtection="1"/>
    <xf numFmtId="0" fontId="6" fillId="0" borderId="0" xfId="0" applyFont="1" applyProtection="1"/>
    <xf numFmtId="0" fontId="6" fillId="0" borderId="0" xfId="0" applyFont="1" applyAlignment="1" applyProtection="1">
      <alignment horizontal="right"/>
    </xf>
    <xf numFmtId="0" fontId="6" fillId="4" borderId="0" xfId="0" applyFont="1" applyFill="1" applyProtection="1"/>
    <xf numFmtId="0" fontId="8" fillId="4" borderId="0" xfId="0" applyFont="1" applyFill="1" applyProtection="1"/>
    <xf numFmtId="167" fontId="9" fillId="2" borderId="0" xfId="0" applyNumberFormat="1" applyFont="1" applyFill="1" applyProtection="1">
      <protection locked="0"/>
    </xf>
    <xf numFmtId="0" fontId="8" fillId="4" borderId="0" xfId="0" applyFont="1" applyFill="1" applyProtection="1">
      <protection locked="0"/>
    </xf>
    <xf numFmtId="0" fontId="9" fillId="0" borderId="0" xfId="0" applyFont="1" applyProtection="1"/>
    <xf numFmtId="164" fontId="7" fillId="3" borderId="7" xfId="0" applyNumberFormat="1" applyFont="1" applyFill="1" applyBorder="1" applyProtection="1"/>
    <xf numFmtId="164" fontId="11" fillId="2" borderId="3" xfId="0" applyNumberFormat="1" applyFont="1" applyFill="1" applyBorder="1" applyProtection="1">
      <protection locked="0"/>
    </xf>
    <xf numFmtId="165" fontId="7" fillId="3" borderId="5" xfId="0" applyNumberFormat="1" applyFont="1" applyFill="1" applyBorder="1" applyProtection="1"/>
    <xf numFmtId="164" fontId="11" fillId="2" borderId="4" xfId="0" applyNumberFormat="1" applyFont="1" applyFill="1" applyBorder="1" applyProtection="1">
      <protection locked="0"/>
    </xf>
    <xf numFmtId="168" fontId="10" fillId="2" borderId="6" xfId="0" applyNumberFormat="1" applyFont="1" applyFill="1" applyBorder="1" applyProtection="1">
      <protection locked="0"/>
    </xf>
    <xf numFmtId="168" fontId="7" fillId="3" borderId="6" xfId="0" applyNumberFormat="1" applyFont="1" applyFill="1" applyBorder="1" applyProtection="1"/>
    <xf numFmtId="168" fontId="10" fillId="2" borderId="7" xfId="0" applyNumberFormat="1" applyFont="1" applyFill="1" applyBorder="1" applyProtection="1">
      <protection locked="0"/>
    </xf>
    <xf numFmtId="168" fontId="7" fillId="3" borderId="7" xfId="0" applyNumberFormat="1" applyFont="1" applyFill="1" applyBorder="1" applyProtection="1"/>
    <xf numFmtId="165" fontId="6" fillId="0" borderId="0" xfId="0" applyNumberFormat="1" applyFont="1" applyProtection="1"/>
    <xf numFmtId="164" fontId="7" fillId="3" borderId="5" xfId="0" applyNumberFormat="1" applyFont="1" applyFill="1" applyBorder="1" applyProtection="1"/>
    <xf numFmtId="170" fontId="7" fillId="3" borderId="5" xfId="0" applyNumberFormat="1" applyFont="1" applyFill="1" applyBorder="1" applyProtection="1"/>
    <xf numFmtId="168" fontId="10" fillId="2" borderId="11" xfId="0" applyNumberFormat="1" applyFont="1" applyFill="1" applyBorder="1" applyProtection="1">
      <protection locked="0"/>
    </xf>
    <xf numFmtId="10" fontId="10" fillId="2" borderId="7" xfId="0" applyNumberFormat="1" applyFont="1" applyFill="1" applyBorder="1" applyProtection="1">
      <protection locked="0"/>
    </xf>
    <xf numFmtId="168" fontId="7" fillId="3" borderId="11" xfId="0" applyNumberFormat="1" applyFont="1" applyFill="1" applyBorder="1" applyProtection="1"/>
    <xf numFmtId="10" fontId="7" fillId="3" borderId="7" xfId="0" applyNumberFormat="1" applyFont="1" applyFill="1" applyBorder="1" applyProtection="1"/>
    <xf numFmtId="168" fontId="6" fillId="0" borderId="0" xfId="0" applyNumberFormat="1" applyFont="1" applyProtection="1"/>
    <xf numFmtId="0" fontId="13" fillId="0" borderId="0" xfId="0" applyFont="1" applyProtection="1"/>
    <xf numFmtId="168" fontId="13" fillId="0" borderId="1" xfId="0" applyNumberFormat="1" applyFont="1" applyBorder="1" applyProtection="1"/>
    <xf numFmtId="168" fontId="13" fillId="0" borderId="12" xfId="0" applyNumberFormat="1" applyFont="1" applyBorder="1" applyProtection="1"/>
    <xf numFmtId="168" fontId="13" fillId="0" borderId="12" xfId="0" applyNumberFormat="1" applyFont="1" applyFill="1" applyBorder="1" applyProtection="1"/>
    <xf numFmtId="168" fontId="13" fillId="0" borderId="3" xfId="0" applyNumberFormat="1" applyFont="1" applyBorder="1" applyProtection="1"/>
    <xf numFmtId="168" fontId="6" fillId="0" borderId="2" xfId="0" applyNumberFormat="1" applyFont="1" applyBorder="1" applyProtection="1"/>
    <xf numFmtId="168" fontId="6" fillId="0" borderId="10" xfId="0" applyNumberFormat="1" applyFont="1" applyBorder="1" applyProtection="1"/>
    <xf numFmtId="168" fontId="6" fillId="0" borderId="4" xfId="0" applyNumberFormat="1" applyFont="1" applyBorder="1" applyProtection="1"/>
    <xf numFmtId="168" fontId="7" fillId="0" borderId="6" xfId="0" applyNumberFormat="1" applyFont="1" applyFill="1" applyBorder="1" applyProtection="1"/>
    <xf numFmtId="168" fontId="6" fillId="0" borderId="1" xfId="0" applyNumberFormat="1" applyFont="1" applyFill="1" applyBorder="1" applyProtection="1"/>
    <xf numFmtId="168" fontId="6" fillId="0" borderId="12" xfId="0" applyNumberFormat="1" applyFont="1" applyFill="1" applyBorder="1" applyProtection="1"/>
    <xf numFmtId="168" fontId="6" fillId="0" borderId="3" xfId="0" applyNumberFormat="1" applyFont="1" applyFill="1" applyBorder="1" applyProtection="1"/>
    <xf numFmtId="168" fontId="7" fillId="0" borderId="11" xfId="0" applyNumberFormat="1" applyFont="1" applyFill="1" applyBorder="1" applyProtection="1"/>
    <xf numFmtId="168" fontId="6" fillId="0" borderId="8" xfId="0" applyNumberFormat="1" applyFont="1" applyFill="1" applyBorder="1" applyProtection="1"/>
    <xf numFmtId="168" fontId="6" fillId="0" borderId="0" xfId="0" applyNumberFormat="1" applyFont="1" applyFill="1" applyBorder="1" applyProtection="1"/>
    <xf numFmtId="168" fontId="6" fillId="0" borderId="9" xfId="0" applyNumberFormat="1" applyFont="1" applyFill="1" applyBorder="1" applyProtection="1"/>
    <xf numFmtId="168" fontId="7" fillId="0" borderId="8" xfId="0" applyNumberFormat="1" applyFont="1" applyFill="1" applyBorder="1" applyProtection="1"/>
    <xf numFmtId="168" fontId="7" fillId="0" borderId="0" xfId="0" applyNumberFormat="1" applyFont="1" applyFill="1" applyBorder="1" applyProtection="1"/>
    <xf numFmtId="168" fontId="7" fillId="3" borderId="0" xfId="0" applyNumberFormat="1" applyFont="1" applyFill="1" applyBorder="1" applyProtection="1"/>
    <xf numFmtId="168" fontId="7" fillId="0" borderId="9" xfId="0" applyNumberFormat="1" applyFont="1" applyFill="1" applyBorder="1" applyProtection="1"/>
    <xf numFmtId="168" fontId="7" fillId="0" borderId="7" xfId="0" applyNumberFormat="1" applyFont="1" applyFill="1" applyBorder="1" applyProtection="1"/>
    <xf numFmtId="168" fontId="6" fillId="0" borderId="2" xfId="0" applyNumberFormat="1" applyFont="1" applyFill="1" applyBorder="1" applyProtection="1"/>
    <xf numFmtId="168" fontId="6" fillId="0" borderId="10" xfId="0" applyNumberFormat="1" applyFont="1" applyFill="1" applyBorder="1" applyProtection="1"/>
    <xf numFmtId="168" fontId="6" fillId="0" borderId="4" xfId="0" applyNumberFormat="1" applyFont="1" applyFill="1" applyBorder="1" applyProtection="1"/>
    <xf numFmtId="168" fontId="9" fillId="0" borderId="0" xfId="0" applyNumberFormat="1" applyFont="1" applyProtection="1"/>
    <xf numFmtId="10" fontId="6" fillId="0" borderId="1" xfId="0" applyNumberFormat="1" applyFont="1" applyFill="1" applyBorder="1" applyProtection="1"/>
    <xf numFmtId="10" fontId="6" fillId="0" borderId="12" xfId="0" applyNumberFormat="1" applyFont="1" applyFill="1" applyBorder="1" applyProtection="1"/>
    <xf numFmtId="10" fontId="6" fillId="0" borderId="3" xfId="0" applyNumberFormat="1" applyFont="1" applyFill="1" applyBorder="1" applyProtection="1"/>
    <xf numFmtId="0" fontId="10" fillId="2" borderId="1" xfId="0" applyFont="1" applyFill="1" applyBorder="1" applyProtection="1">
      <protection locked="0"/>
    </xf>
    <xf numFmtId="0" fontId="6" fillId="4" borderId="12" xfId="0" applyFont="1" applyFill="1" applyBorder="1" applyProtection="1">
      <protection locked="0"/>
    </xf>
    <xf numFmtId="0" fontId="6" fillId="4" borderId="3" xfId="0" applyFont="1" applyFill="1" applyBorder="1" applyProtection="1">
      <protection locked="0"/>
    </xf>
    <xf numFmtId="10" fontId="6" fillId="0" borderId="8" xfId="0" applyNumberFormat="1" applyFont="1" applyFill="1" applyBorder="1" applyProtection="1"/>
    <xf numFmtId="10" fontId="6" fillId="0" borderId="0" xfId="0" applyNumberFormat="1" applyFont="1" applyFill="1" applyBorder="1" applyProtection="1"/>
    <xf numFmtId="10" fontId="6" fillId="0" borderId="9" xfId="0" applyNumberFormat="1" applyFont="1" applyFill="1" applyBorder="1" applyProtection="1"/>
    <xf numFmtId="0" fontId="10" fillId="2" borderId="8" xfId="0" applyFont="1" applyFill="1" applyBorder="1" applyProtection="1">
      <protection locked="0"/>
    </xf>
    <xf numFmtId="0" fontId="6" fillId="4" borderId="0" xfId="0" applyFont="1" applyFill="1" applyBorder="1" applyProtection="1">
      <protection locked="0"/>
    </xf>
    <xf numFmtId="0" fontId="6" fillId="4" borderId="9" xfId="0" applyFont="1" applyFill="1" applyBorder="1" applyProtection="1">
      <protection locked="0"/>
    </xf>
    <xf numFmtId="10" fontId="7" fillId="0" borderId="8" xfId="0" applyNumberFormat="1" applyFont="1" applyFill="1" applyBorder="1" applyProtection="1"/>
    <xf numFmtId="10" fontId="7" fillId="0" borderId="0" xfId="0" applyNumberFormat="1" applyFont="1" applyFill="1" applyBorder="1" applyProtection="1"/>
    <xf numFmtId="10" fontId="7" fillId="3" borderId="0" xfId="0" applyNumberFormat="1" applyFont="1" applyFill="1" applyBorder="1" applyProtection="1"/>
    <xf numFmtId="10" fontId="7" fillId="0" borderId="9" xfId="0" applyNumberFormat="1" applyFont="1" applyFill="1" applyBorder="1" applyProtection="1"/>
    <xf numFmtId="10" fontId="6" fillId="0" borderId="2" xfId="0" applyNumberFormat="1" applyFont="1" applyFill="1" applyBorder="1" applyProtection="1"/>
    <xf numFmtId="10" fontId="6" fillId="0" borderId="10" xfId="0" applyNumberFormat="1" applyFont="1" applyFill="1" applyBorder="1" applyProtection="1"/>
    <xf numFmtId="10" fontId="6" fillId="0" borderId="4" xfId="0" applyNumberFormat="1" applyFont="1" applyFill="1" applyBorder="1" applyProtection="1"/>
    <xf numFmtId="0" fontId="10" fillId="2" borderId="2" xfId="0" applyFont="1" applyFill="1" applyBorder="1" applyProtection="1">
      <protection locked="0"/>
    </xf>
    <xf numFmtId="0" fontId="6" fillId="4" borderId="10" xfId="0" applyFont="1" applyFill="1" applyBorder="1" applyProtection="1">
      <protection locked="0"/>
    </xf>
    <xf numFmtId="0" fontId="6" fillId="4" borderId="4" xfId="0" applyFont="1" applyFill="1" applyBorder="1" applyProtection="1">
      <protection locked="0"/>
    </xf>
    <xf numFmtId="10" fontId="6" fillId="0" borderId="0" xfId="0" applyNumberFormat="1" applyFont="1" applyProtection="1"/>
    <xf numFmtId="0" fontId="11" fillId="2" borderId="1" xfId="0" applyNumberFormat="1" applyFont="1" applyFill="1" applyBorder="1" applyProtection="1">
      <protection locked="0"/>
    </xf>
    <xf numFmtId="0" fontId="11" fillId="2" borderId="12" xfId="0" applyFont="1" applyFill="1" applyBorder="1" applyProtection="1">
      <protection locked="0"/>
    </xf>
    <xf numFmtId="0" fontId="11" fillId="2" borderId="3" xfId="0" applyFont="1" applyFill="1" applyBorder="1" applyProtection="1">
      <protection locked="0"/>
    </xf>
    <xf numFmtId="0" fontId="11" fillId="2" borderId="8" xfId="0" applyNumberFormat="1" applyFont="1" applyFill="1" applyBorder="1" applyProtection="1">
      <protection locked="0"/>
    </xf>
    <xf numFmtId="0" fontId="11" fillId="2" borderId="0" xfId="0" applyNumberFormat="1" applyFont="1" applyFill="1" applyBorder="1" applyProtection="1">
      <protection locked="0"/>
    </xf>
    <xf numFmtId="0" fontId="11" fillId="2" borderId="0" xfId="0" applyFont="1" applyFill="1" applyBorder="1" applyProtection="1">
      <protection locked="0"/>
    </xf>
    <xf numFmtId="0" fontId="11" fillId="2" borderId="9" xfId="0" applyFont="1" applyFill="1" applyBorder="1" applyProtection="1">
      <protection locked="0"/>
    </xf>
    <xf numFmtId="164" fontId="10" fillId="2" borderId="8" xfId="0" applyNumberFormat="1" applyFont="1" applyFill="1" applyBorder="1" applyProtection="1">
      <protection locked="0"/>
    </xf>
    <xf numFmtId="164" fontId="10" fillId="2" borderId="0" xfId="0" applyNumberFormat="1" applyFont="1" applyFill="1" applyBorder="1" applyProtection="1">
      <protection locked="0"/>
    </xf>
    <xf numFmtId="164" fontId="10" fillId="2" borderId="9" xfId="0" applyNumberFormat="1" applyFont="1" applyFill="1" applyBorder="1" applyProtection="1">
      <protection locked="0"/>
    </xf>
    <xf numFmtId="168" fontId="10" fillId="2" borderId="8" xfId="0" applyNumberFormat="1" applyFont="1" applyFill="1" applyBorder="1" applyProtection="1">
      <protection locked="0"/>
    </xf>
    <xf numFmtId="168" fontId="10" fillId="2" borderId="0" xfId="0" applyNumberFormat="1" applyFont="1" applyFill="1" applyBorder="1" applyProtection="1">
      <protection locked="0"/>
    </xf>
    <xf numFmtId="168" fontId="10" fillId="2" borderId="9" xfId="0" applyNumberFormat="1" applyFont="1" applyFill="1" applyBorder="1" applyProtection="1">
      <protection locked="0"/>
    </xf>
    <xf numFmtId="169" fontId="10" fillId="2" borderId="8" xfId="0" applyNumberFormat="1" applyFont="1" applyFill="1" applyBorder="1" applyProtection="1">
      <protection locked="0"/>
    </xf>
    <xf numFmtId="169" fontId="10" fillId="2" borderId="0" xfId="0" applyNumberFormat="1" applyFont="1" applyFill="1" applyBorder="1" applyProtection="1">
      <protection locked="0"/>
    </xf>
    <xf numFmtId="169" fontId="10" fillId="2" borderId="9" xfId="0" applyNumberFormat="1" applyFont="1" applyFill="1" applyBorder="1" applyProtection="1">
      <protection locked="0"/>
    </xf>
    <xf numFmtId="0" fontId="10" fillId="2" borderId="8" xfId="0" applyNumberFormat="1" applyFont="1" applyFill="1" applyBorder="1" applyProtection="1">
      <protection locked="0"/>
    </xf>
    <xf numFmtId="0" fontId="6" fillId="2" borderId="0" xfId="0" applyNumberFormat="1" applyFont="1" applyFill="1" applyBorder="1" applyProtection="1">
      <protection locked="0"/>
    </xf>
    <xf numFmtId="0" fontId="6" fillId="2" borderId="0" xfId="0" applyFont="1" applyFill="1" applyBorder="1" applyProtection="1">
      <protection locked="0"/>
    </xf>
    <xf numFmtId="0" fontId="6" fillId="2" borderId="9" xfId="0" applyFont="1" applyFill="1" applyBorder="1" applyProtection="1">
      <protection locked="0"/>
    </xf>
    <xf numFmtId="9" fontId="10" fillId="2" borderId="8" xfId="0" applyNumberFormat="1" applyFont="1" applyFill="1" applyBorder="1" applyProtection="1">
      <protection locked="0"/>
    </xf>
    <xf numFmtId="9" fontId="10" fillId="2" borderId="0" xfId="0" applyNumberFormat="1" applyFont="1" applyFill="1" applyBorder="1" applyProtection="1">
      <protection locked="0"/>
    </xf>
    <xf numFmtId="9" fontId="10" fillId="2" borderId="9" xfId="0" applyNumberFormat="1" applyFont="1" applyFill="1" applyBorder="1" applyProtection="1">
      <protection locked="0"/>
    </xf>
    <xf numFmtId="165" fontId="10" fillId="2" borderId="8" xfId="0" applyNumberFormat="1" applyFont="1" applyFill="1" applyBorder="1" applyProtection="1">
      <protection locked="0"/>
    </xf>
    <xf numFmtId="165" fontId="10" fillId="2" borderId="0" xfId="0" applyNumberFormat="1" applyFont="1" applyFill="1" applyBorder="1" applyProtection="1">
      <protection locked="0"/>
    </xf>
    <xf numFmtId="165" fontId="10" fillId="2" borderId="9" xfId="0" applyNumberFormat="1" applyFont="1" applyFill="1" applyBorder="1" applyProtection="1">
      <protection locked="0"/>
    </xf>
    <xf numFmtId="166" fontId="10" fillId="2" borderId="8" xfId="0" applyNumberFormat="1" applyFont="1" applyFill="1" applyBorder="1" applyProtection="1">
      <protection locked="0"/>
    </xf>
    <xf numFmtId="166" fontId="10" fillId="2" borderId="0" xfId="0" applyNumberFormat="1" applyFont="1" applyFill="1" applyBorder="1" applyProtection="1">
      <protection locked="0"/>
    </xf>
    <xf numFmtId="166" fontId="10" fillId="2" borderId="9" xfId="0" applyNumberFormat="1" applyFont="1" applyFill="1" applyBorder="1" applyProtection="1">
      <protection locked="0"/>
    </xf>
    <xf numFmtId="10" fontId="10" fillId="2" borderId="8" xfId="0" applyNumberFormat="1" applyFont="1" applyFill="1" applyBorder="1" applyProtection="1">
      <protection locked="0"/>
    </xf>
    <xf numFmtId="10" fontId="10" fillId="2" borderId="0" xfId="0" applyNumberFormat="1" applyFont="1" applyFill="1" applyBorder="1" applyProtection="1">
      <protection locked="0"/>
    </xf>
    <xf numFmtId="10" fontId="10" fillId="2" borderId="9" xfId="0" applyNumberFormat="1" applyFont="1" applyFill="1" applyBorder="1" applyProtection="1">
      <protection locked="0"/>
    </xf>
    <xf numFmtId="10" fontId="10" fillId="2" borderId="2" xfId="0" applyNumberFormat="1" applyFont="1" applyFill="1" applyBorder="1" applyProtection="1">
      <protection locked="0"/>
    </xf>
    <xf numFmtId="10" fontId="10" fillId="2" borderId="10" xfId="0" applyNumberFormat="1" applyFont="1" applyFill="1" applyBorder="1" applyProtection="1">
      <protection locked="0"/>
    </xf>
    <xf numFmtId="10" fontId="10" fillId="2" borderId="4" xfId="0" applyNumberFormat="1" applyFont="1" applyFill="1" applyBorder="1" applyProtection="1">
      <protection locked="0"/>
    </xf>
    <xf numFmtId="169" fontId="10" fillId="2" borderId="6" xfId="0" applyNumberFormat="1" applyFont="1" applyFill="1" applyBorder="1" applyProtection="1">
      <protection locked="0"/>
    </xf>
    <xf numFmtId="164" fontId="10" fillId="2" borderId="7" xfId="0" applyNumberFormat="1" applyFont="1" applyFill="1" applyBorder="1" applyProtection="1">
      <protection locked="0"/>
    </xf>
    <xf numFmtId="164" fontId="10" fillId="2" borderId="11" xfId="0" applyNumberFormat="1" applyFont="1" applyFill="1" applyBorder="1" applyProtection="1">
      <protection locked="0"/>
    </xf>
    <xf numFmtId="168" fontId="6" fillId="0" borderId="6" xfId="0" applyNumberFormat="1" applyFont="1" applyBorder="1" applyProtection="1"/>
    <xf numFmtId="168" fontId="7" fillId="3" borderId="5" xfId="0" applyNumberFormat="1" applyFont="1" applyFill="1" applyBorder="1" applyProtection="1"/>
    <xf numFmtId="164" fontId="6" fillId="0" borderId="5" xfId="0" applyNumberFormat="1" applyFont="1" applyBorder="1" applyProtection="1"/>
    <xf numFmtId="0" fontId="6" fillId="0" borderId="1" xfId="0" applyFont="1" applyBorder="1" applyAlignment="1" applyProtection="1">
      <alignment horizontal="right"/>
    </xf>
    <xf numFmtId="0" fontId="6" fillId="0" borderId="3" xfId="0" applyFont="1" applyBorder="1" applyAlignment="1" applyProtection="1">
      <alignment horizontal="right"/>
    </xf>
    <xf numFmtId="0" fontId="6" fillId="0" borderId="2" xfId="0" applyFont="1" applyBorder="1" applyAlignment="1" applyProtection="1">
      <alignment horizontal="right"/>
    </xf>
    <xf numFmtId="0" fontId="6" fillId="0" borderId="4" xfId="0" applyFont="1" applyBorder="1" applyAlignment="1" applyProtection="1">
      <alignment horizontal="right"/>
    </xf>
    <xf numFmtId="0" fontId="6" fillId="0" borderId="1" xfId="0" applyFont="1" applyBorder="1" applyProtection="1"/>
    <xf numFmtId="0" fontId="6" fillId="0" borderId="3" xfId="0" applyFont="1" applyBorder="1" applyProtection="1"/>
    <xf numFmtId="0" fontId="6" fillId="0" borderId="8" xfId="0" applyFont="1" applyBorder="1" applyProtection="1"/>
    <xf numFmtId="0" fontId="6" fillId="0" borderId="9" xfId="0" applyFont="1" applyBorder="1" applyProtection="1"/>
    <xf numFmtId="0" fontId="6" fillId="0" borderId="2" xfId="0" applyFont="1" applyBorder="1" applyProtection="1"/>
    <xf numFmtId="0" fontId="6" fillId="0" borderId="4" xfId="0" applyFont="1" applyBorder="1" applyProtection="1"/>
    <xf numFmtId="165" fontId="6" fillId="0" borderId="0" xfId="3" applyFont="1"/>
    <xf numFmtId="0" fontId="6" fillId="0" borderId="0" xfId="0" applyFont="1"/>
    <xf numFmtId="165" fontId="6" fillId="0" borderId="0" xfId="3" applyFont="1" applyAlignment="1" applyProtection="1">
      <alignment horizontal="left"/>
      <protection locked="0"/>
    </xf>
    <xf numFmtId="165" fontId="6" fillId="0" borderId="0" xfId="3" applyFont="1" applyAlignment="1">
      <alignment horizontal="right"/>
    </xf>
    <xf numFmtId="165" fontId="7" fillId="2" borderId="0" xfId="3" applyFont="1" applyFill="1"/>
    <xf numFmtId="165" fontId="6" fillId="2" borderId="0" xfId="3" applyFont="1" applyFill="1" applyAlignment="1">
      <alignment horizontal="left"/>
    </xf>
    <xf numFmtId="165" fontId="10" fillId="2" borderId="0" xfId="3" applyFont="1" applyFill="1"/>
    <xf numFmtId="1" fontId="6" fillId="2" borderId="0" xfId="3" applyNumberFormat="1" applyFont="1" applyFill="1" applyAlignment="1" applyProtection="1">
      <alignment horizontal="right"/>
      <protection locked="0"/>
    </xf>
    <xf numFmtId="164" fontId="6" fillId="0" borderId="0" xfId="3" applyNumberFormat="1" applyFont="1" applyProtection="1">
      <protection locked="0"/>
    </xf>
    <xf numFmtId="14" fontId="6" fillId="2" borderId="0" xfId="3" applyNumberFormat="1" applyFont="1" applyFill="1" applyAlignment="1" applyProtection="1">
      <alignment horizontal="right"/>
      <protection locked="0"/>
    </xf>
    <xf numFmtId="165" fontId="6" fillId="0" borderId="0" xfId="3" applyFont="1" applyFill="1" applyAlignment="1" applyProtection="1">
      <alignment horizontal="left"/>
      <protection locked="0"/>
    </xf>
    <xf numFmtId="1" fontId="6" fillId="0" borderId="0" xfId="3" applyNumberFormat="1" applyFont="1" applyFill="1" applyAlignment="1" applyProtection="1">
      <alignment horizontal="right"/>
      <protection locked="0"/>
    </xf>
    <xf numFmtId="1" fontId="10" fillId="0" borderId="0" xfId="3" applyNumberFormat="1" applyFont="1" applyAlignment="1" applyProtection="1">
      <alignment horizontal="right"/>
      <protection locked="0"/>
    </xf>
    <xf numFmtId="0" fontId="14" fillId="6" borderId="0" xfId="0" applyFont="1" applyFill="1" applyAlignment="1">
      <alignment horizontal="left"/>
    </xf>
    <xf numFmtId="165" fontId="15" fillId="0" borderId="0" xfId="3" applyFont="1" applyAlignment="1" applyProtection="1">
      <alignment horizontal="left"/>
      <protection locked="0"/>
    </xf>
    <xf numFmtId="10" fontId="6" fillId="2" borderId="0" xfId="2" applyNumberFormat="1" applyFont="1" applyFill="1" applyAlignment="1" applyProtection="1">
      <alignment horizontal="right"/>
      <protection locked="0"/>
    </xf>
    <xf numFmtId="1" fontId="6" fillId="8" borderId="0" xfId="3" applyNumberFormat="1" applyFont="1" applyFill="1" applyAlignment="1" applyProtection="1">
      <alignment horizontal="right"/>
      <protection locked="0"/>
    </xf>
    <xf numFmtId="0" fontId="7" fillId="7" borderId="13" xfId="0" applyFont="1" applyFill="1" applyBorder="1" applyAlignment="1" applyProtection="1">
      <alignment horizontal="left" vertical="center"/>
    </xf>
    <xf numFmtId="0" fontId="7" fillId="7" borderId="14" xfId="0" applyFont="1" applyFill="1" applyBorder="1" applyAlignment="1" applyProtection="1">
      <alignment horizontal="left" vertical="center"/>
    </xf>
    <xf numFmtId="171" fontId="6" fillId="2" borderId="0" xfId="3" applyNumberFormat="1" applyFont="1" applyFill="1" applyAlignment="1" applyProtection="1">
      <alignment horizontal="right"/>
      <protection locked="0"/>
    </xf>
    <xf numFmtId="171" fontId="6" fillId="0" borderId="0" xfId="3" applyNumberFormat="1" applyFont="1" applyAlignment="1" applyProtection="1">
      <alignment horizontal="right"/>
      <protection locked="0"/>
    </xf>
    <xf numFmtId="0" fontId="6" fillId="0" borderId="13" xfId="0" applyFont="1" applyBorder="1" applyAlignment="1" applyProtection="1">
      <alignment horizontal="left"/>
    </xf>
    <xf numFmtId="3" fontId="6" fillId="2" borderId="5" xfId="4" applyNumberFormat="1" applyFont="1" applyFill="1" applyBorder="1" applyAlignment="1">
      <alignment horizontal="center"/>
    </xf>
    <xf numFmtId="10" fontId="6" fillId="9" borderId="0" xfId="2" applyNumberFormat="1" applyFont="1" applyFill="1" applyAlignment="1" applyProtection="1">
      <alignment horizontal="right"/>
      <protection locked="0"/>
    </xf>
    <xf numFmtId="171" fontId="6" fillId="8" borderId="0" xfId="3" applyNumberFormat="1" applyFont="1" applyFill="1" applyAlignment="1" applyProtection="1">
      <alignment horizontal="right"/>
      <protection locked="0"/>
    </xf>
    <xf numFmtId="0" fontId="6" fillId="2" borderId="5" xfId="4" applyFont="1" applyFill="1" applyBorder="1" applyAlignment="1">
      <alignment horizontal="center"/>
    </xf>
    <xf numFmtId="8" fontId="6" fillId="2" borderId="5" xfId="4" applyNumberFormat="1" applyFont="1" applyFill="1" applyBorder="1" applyAlignment="1">
      <alignment horizontal="center"/>
    </xf>
    <xf numFmtId="172" fontId="6" fillId="8" borderId="5" xfId="4" applyNumberFormat="1" applyFont="1" applyFill="1" applyBorder="1" applyAlignment="1">
      <alignment horizontal="center"/>
    </xf>
    <xf numFmtId="165" fontId="7" fillId="0" borderId="0" xfId="3" applyFont="1" applyAlignment="1" applyProtection="1">
      <alignment horizontal="left"/>
      <protection locked="0"/>
    </xf>
    <xf numFmtId="171" fontId="7" fillId="0" borderId="15" xfId="3" applyNumberFormat="1" applyFont="1" applyBorder="1" applyAlignment="1" applyProtection="1">
      <alignment horizontal="right"/>
      <protection locked="0"/>
    </xf>
    <xf numFmtId="171" fontId="6" fillId="8" borderId="5" xfId="4" applyNumberFormat="1" applyFont="1" applyFill="1" applyBorder="1" applyAlignment="1">
      <alignment horizontal="center"/>
    </xf>
    <xf numFmtId="171" fontId="7" fillId="0" borderId="0" xfId="3" applyNumberFormat="1" applyFont="1" applyAlignment="1" applyProtection="1">
      <alignment horizontal="right"/>
      <protection locked="0"/>
    </xf>
    <xf numFmtId="0" fontId="15" fillId="0" borderId="0" xfId="5" applyFont="1" applyProtection="1"/>
    <xf numFmtId="0" fontId="6" fillId="0" borderId="0" xfId="6" applyFont="1" applyProtection="1"/>
    <xf numFmtId="171" fontId="6" fillId="2" borderId="0" xfId="1" applyNumberFormat="1" applyFont="1" applyFill="1" applyAlignment="1" applyProtection="1">
      <alignment horizontal="right"/>
      <protection locked="0"/>
    </xf>
    <xf numFmtId="0" fontId="6" fillId="0" borderId="0" xfId="7" applyFont="1"/>
    <xf numFmtId="0" fontId="6" fillId="0" borderId="0" xfId="7" applyFont="1" applyAlignment="1">
      <alignment horizontal="left"/>
    </xf>
    <xf numFmtId="0" fontId="6" fillId="0" borderId="0" xfId="4" applyFont="1"/>
    <xf numFmtId="0" fontId="7" fillId="4" borderId="6" xfId="7" applyFont="1" applyFill="1" applyBorder="1" applyAlignment="1">
      <alignment horizontal="center"/>
    </xf>
    <xf numFmtId="0" fontId="7" fillId="4" borderId="7" xfId="7" applyFont="1" applyFill="1" applyBorder="1" applyAlignment="1">
      <alignment horizontal="center"/>
    </xf>
    <xf numFmtId="171" fontId="7" fillId="0" borderId="16" xfId="3" applyNumberFormat="1" applyFont="1" applyBorder="1" applyAlignment="1" applyProtection="1">
      <alignment horizontal="right"/>
      <protection locked="0"/>
    </xf>
    <xf numFmtId="0" fontId="6" fillId="0" borderId="7" xfId="7" applyFont="1" applyBorder="1" applyAlignment="1">
      <alignment horizontal="center"/>
    </xf>
    <xf numFmtId="2" fontId="6" fillId="0" borderId="0" xfId="3" applyNumberFormat="1" applyFont="1" applyAlignment="1" applyProtection="1">
      <alignment horizontal="right"/>
      <protection locked="0"/>
    </xf>
    <xf numFmtId="0" fontId="6" fillId="0" borderId="5" xfId="7" applyFont="1" applyBorder="1" applyAlignment="1">
      <alignment horizontal="center"/>
    </xf>
    <xf numFmtId="2" fontId="10" fillId="2" borderId="0" xfId="3" applyNumberFormat="1" applyFont="1" applyFill="1" applyAlignment="1" applyProtection="1">
      <alignment horizontal="right"/>
      <protection locked="0"/>
    </xf>
    <xf numFmtId="1" fontId="6" fillId="0" borderId="0" xfId="3" applyNumberFormat="1" applyFont="1" applyAlignment="1" applyProtection="1">
      <alignment horizontal="right"/>
      <protection locked="0"/>
    </xf>
    <xf numFmtId="9" fontId="6" fillId="9" borderId="0" xfId="2" applyFont="1" applyFill="1" applyAlignment="1" applyProtection="1">
      <alignment horizontal="right"/>
      <protection locked="0"/>
    </xf>
    <xf numFmtId="2" fontId="6" fillId="0" borderId="0" xfId="3" applyNumberFormat="1" applyFont="1" applyProtection="1">
      <protection locked="0"/>
    </xf>
    <xf numFmtId="4" fontId="6" fillId="0" borderId="0" xfId="3" applyNumberFormat="1" applyFont="1" applyAlignment="1" applyProtection="1">
      <alignment horizontal="right"/>
      <protection locked="0"/>
    </xf>
    <xf numFmtId="10" fontId="10" fillId="2" borderId="0" xfId="2" applyNumberFormat="1" applyFont="1" applyFill="1" applyAlignment="1" applyProtection="1">
      <alignment horizontal="right"/>
      <protection locked="0"/>
    </xf>
    <xf numFmtId="3" fontId="6" fillId="0" borderId="0" xfId="3" applyNumberFormat="1" applyFont="1" applyAlignment="1" applyProtection="1">
      <alignment horizontal="right"/>
      <protection locked="0"/>
    </xf>
    <xf numFmtId="165" fontId="6" fillId="8" borderId="0" xfId="3" applyFont="1" applyFill="1"/>
    <xf numFmtId="165" fontId="6" fillId="0" borderId="0" xfId="3" applyFont="1" applyFill="1"/>
    <xf numFmtId="172" fontId="6" fillId="0" borderId="0" xfId="3" applyNumberFormat="1" applyFont="1" applyAlignment="1" applyProtection="1">
      <alignment horizontal="right"/>
      <protection locked="0"/>
    </xf>
    <xf numFmtId="165" fontId="6" fillId="8" borderId="10" xfId="3" applyFont="1" applyFill="1" applyBorder="1"/>
    <xf numFmtId="171" fontId="6" fillId="0" borderId="10" xfId="3" applyNumberFormat="1" applyFont="1" applyFill="1" applyBorder="1" applyAlignment="1">
      <alignment horizontal="right"/>
    </xf>
    <xf numFmtId="165" fontId="6" fillId="0" borderId="10" xfId="3" applyFont="1" applyFill="1" applyBorder="1"/>
    <xf numFmtId="172" fontId="6" fillId="0" borderId="10" xfId="3" applyNumberFormat="1" applyFont="1" applyFill="1" applyBorder="1" applyAlignment="1">
      <alignment horizontal="right"/>
    </xf>
    <xf numFmtId="168" fontId="7" fillId="0" borderId="13" xfId="0" applyNumberFormat="1" applyFont="1" applyBorder="1" applyProtection="1"/>
    <xf numFmtId="168" fontId="7" fillId="0" borderId="16" xfId="0" applyNumberFormat="1" applyFont="1" applyBorder="1" applyProtection="1"/>
    <xf numFmtId="168" fontId="7" fillId="0" borderId="16" xfId="0" applyNumberFormat="1" applyFont="1" applyFill="1" applyBorder="1" applyProtection="1"/>
    <xf numFmtId="168" fontId="7" fillId="0" borderId="14" xfId="0" applyNumberFormat="1" applyFont="1" applyBorder="1" applyProtection="1"/>
    <xf numFmtId="165" fontId="7" fillId="8" borderId="0" xfId="3" applyFont="1" applyFill="1"/>
    <xf numFmtId="171" fontId="7" fillId="0" borderId="0" xfId="3" applyNumberFormat="1" applyFont="1" applyFill="1" applyAlignment="1">
      <alignment horizontal="right"/>
    </xf>
    <xf numFmtId="165" fontId="7" fillId="0" borderId="0" xfId="3" applyFont="1"/>
    <xf numFmtId="165" fontId="7" fillId="0" borderId="0" xfId="3" applyFont="1" applyFill="1"/>
    <xf numFmtId="172" fontId="7" fillId="0" borderId="0" xfId="3" applyNumberFormat="1" applyFont="1" applyFill="1" applyAlignment="1">
      <alignment horizontal="right"/>
    </xf>
    <xf numFmtId="0" fontId="16" fillId="0" borderId="0" xfId="0" applyFont="1"/>
    <xf numFmtId="165" fontId="15" fillId="0" borderId="0" xfId="3" applyFont="1"/>
    <xf numFmtId="0" fontId="13" fillId="0" borderId="0" xfId="0" applyFont="1" applyAlignment="1" applyProtection="1">
      <alignment horizontal="right"/>
    </xf>
    <xf numFmtId="8" fontId="6" fillId="0" borderId="1" xfId="0" applyNumberFormat="1" applyFont="1" applyFill="1" applyBorder="1" applyProtection="1"/>
    <xf numFmtId="8" fontId="6" fillId="0" borderId="12" xfId="0" applyNumberFormat="1" applyFont="1" applyFill="1" applyBorder="1" applyProtection="1"/>
    <xf numFmtId="8" fontId="6" fillId="0" borderId="3" xfId="0" applyNumberFormat="1" applyFont="1" applyFill="1" applyBorder="1" applyProtection="1"/>
    <xf numFmtId="164" fontId="6" fillId="0" borderId="0" xfId="3" applyNumberFormat="1" applyFont="1" applyAlignment="1">
      <alignment horizontal="right"/>
    </xf>
    <xf numFmtId="8" fontId="6" fillId="0" borderId="8" xfId="0" applyNumberFormat="1" applyFont="1" applyFill="1" applyBorder="1" applyProtection="1"/>
    <xf numFmtId="8" fontId="6" fillId="0" borderId="0" xfId="0" applyNumberFormat="1" applyFont="1" applyFill="1" applyBorder="1" applyProtection="1"/>
    <xf numFmtId="8" fontId="6" fillId="0" borderId="9" xfId="0" applyNumberFormat="1" applyFont="1" applyFill="1" applyBorder="1" applyProtection="1"/>
    <xf numFmtId="8" fontId="7" fillId="0" borderId="8" xfId="0" applyNumberFormat="1" applyFont="1" applyFill="1" applyBorder="1" applyProtection="1"/>
    <xf numFmtId="8" fontId="7" fillId="0" borderId="0" xfId="0" applyNumberFormat="1" applyFont="1" applyFill="1" applyBorder="1" applyProtection="1"/>
    <xf numFmtId="8" fontId="7" fillId="3" borderId="0" xfId="0" applyNumberFormat="1" applyFont="1" applyFill="1" applyBorder="1" applyProtection="1"/>
    <xf numFmtId="8" fontId="7" fillId="0" borderId="9" xfId="0" applyNumberFormat="1" applyFont="1" applyFill="1" applyBorder="1" applyProtection="1"/>
    <xf numFmtId="165" fontId="6" fillId="0" borderId="0" xfId="3" applyNumberFormat="1" applyFont="1" applyAlignment="1">
      <alignment horizontal="right"/>
    </xf>
    <xf numFmtId="8" fontId="6" fillId="0" borderId="2" xfId="0" applyNumberFormat="1" applyFont="1" applyFill="1" applyBorder="1" applyProtection="1"/>
    <xf numFmtId="8" fontId="6" fillId="0" borderId="10" xfId="0" applyNumberFormat="1" applyFont="1" applyFill="1" applyBorder="1" applyProtection="1"/>
    <xf numFmtId="8" fontId="6" fillId="0" borderId="4" xfId="0" applyNumberFormat="1" applyFont="1" applyFill="1" applyBorder="1" applyProtection="1"/>
    <xf numFmtId="165" fontId="15" fillId="0" borderId="0" xfId="3" applyFont="1" applyBorder="1"/>
    <xf numFmtId="172" fontId="6" fillId="0" borderId="0" xfId="3" applyNumberFormat="1" applyFont="1" applyAlignment="1">
      <alignment horizontal="right"/>
    </xf>
    <xf numFmtId="10" fontId="7" fillId="8" borderId="0" xfId="0" applyNumberFormat="1" applyFont="1" applyFill="1" applyBorder="1" applyProtection="1"/>
    <xf numFmtId="2" fontId="6" fillId="0" borderId="0" xfId="3" applyNumberFormat="1" applyFont="1" applyFill="1" applyAlignment="1">
      <alignment horizontal="right"/>
    </xf>
    <xf numFmtId="2" fontId="6" fillId="0" borderId="0" xfId="3" applyNumberFormat="1" applyFont="1" applyFill="1" applyAlignment="1" applyProtection="1">
      <alignment horizontal="right"/>
      <protection locked="0"/>
    </xf>
    <xf numFmtId="171" fontId="6" fillId="0" borderId="0" xfId="3" applyNumberFormat="1" applyFont="1"/>
    <xf numFmtId="9" fontId="7" fillId="3" borderId="0" xfId="2" applyFont="1" applyFill="1" applyBorder="1" applyProtection="1"/>
    <xf numFmtId="167" fontId="17" fillId="2" borderId="6" xfId="0" applyNumberFormat="1" applyFont="1" applyFill="1" applyBorder="1" applyProtection="1">
      <protection locked="0"/>
    </xf>
    <xf numFmtId="167" fontId="17" fillId="2" borderId="7" xfId="0" applyNumberFormat="1" applyFont="1" applyFill="1" applyBorder="1" applyProtection="1">
      <protection locked="0"/>
    </xf>
    <xf numFmtId="164" fontId="17" fillId="2" borderId="1" xfId="0" applyNumberFormat="1" applyFont="1" applyFill="1" applyBorder="1" applyProtection="1">
      <protection locked="0"/>
    </xf>
    <xf numFmtId="164" fontId="17" fillId="2" borderId="2" xfId="0" applyNumberFormat="1" applyFont="1" applyFill="1" applyBorder="1" applyProtection="1">
      <protection locked="0"/>
    </xf>
    <xf numFmtId="168" fontId="17" fillId="2" borderId="6" xfId="0" applyNumberFormat="1" applyFont="1" applyFill="1" applyBorder="1" applyProtection="1">
      <protection locked="0"/>
    </xf>
    <xf numFmtId="168" fontId="17" fillId="2" borderId="7" xfId="0" applyNumberFormat="1" applyFont="1" applyFill="1" applyBorder="1" applyProtection="1">
      <protection locked="0"/>
    </xf>
    <xf numFmtId="10" fontId="17" fillId="2" borderId="5" xfId="0" applyNumberFormat="1" applyFont="1" applyFill="1" applyBorder="1" applyProtection="1">
      <protection locked="0"/>
    </xf>
    <xf numFmtId="164" fontId="17" fillId="2" borderId="5" xfId="0" applyNumberFormat="1" applyFont="1" applyFill="1" applyBorder="1" applyProtection="1">
      <protection locked="0"/>
    </xf>
    <xf numFmtId="10" fontId="17" fillId="2" borderId="6" xfId="0" applyNumberFormat="1" applyFont="1" applyFill="1" applyBorder="1" applyProtection="1">
      <protection locked="0"/>
    </xf>
    <xf numFmtId="168" fontId="17" fillId="2" borderId="11" xfId="0" applyNumberFormat="1" applyFont="1" applyFill="1" applyBorder="1" applyProtection="1">
      <protection locked="0"/>
    </xf>
    <xf numFmtId="10" fontId="17" fillId="2" borderId="7" xfId="0" applyNumberFormat="1" applyFont="1" applyFill="1" applyBorder="1" applyProtection="1">
      <protection locked="0"/>
    </xf>
    <xf numFmtId="0" fontId="12" fillId="5" borderId="0" xfId="0" applyFont="1" applyFill="1" applyAlignment="1" applyProtection="1">
      <alignment horizontal="center"/>
    </xf>
    <xf numFmtId="0" fontId="6" fillId="0" borderId="0" xfId="0" applyFont="1" applyAlignment="1">
      <alignment horizontal="center"/>
    </xf>
    <xf numFmtId="165" fontId="7" fillId="0" borderId="0" xfId="3" applyFont="1" applyAlignment="1" applyProtection="1">
      <alignment horizontal="center"/>
      <protection locked="0"/>
    </xf>
  </cellXfs>
  <cellStyles count="8">
    <cellStyle name="Arial  - Style1" xfId="6"/>
    <cellStyle name="Bold A - Style3" xfId="5"/>
    <cellStyle name="Currency" xfId="1" builtinId="4"/>
    <cellStyle name="Normal" xfId="0" builtinId="0"/>
    <cellStyle name="Normal 2" xfId="7"/>
    <cellStyle name="Normal 3" xfId="4"/>
    <cellStyle name="Normal_AGIST"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B1:R139"/>
  <sheetViews>
    <sheetView showGridLines="0" tabSelected="1" zoomScale="75" zoomScaleNormal="75" workbookViewId="0">
      <selection activeCell="M27" sqref="M27"/>
    </sheetView>
  </sheetViews>
  <sheetFormatPr defaultColWidth="9.6640625" defaultRowHeight="15.5" x14ac:dyDescent="0.35"/>
  <cols>
    <col min="1" max="1" width="1.6640625" style="6" customWidth="1"/>
    <col min="2" max="2" width="19.9140625" style="6" customWidth="1"/>
    <col min="3" max="3" width="15.25" style="6" customWidth="1"/>
    <col min="4" max="4" width="17.4140625" style="6" customWidth="1"/>
    <col min="5" max="5" width="16.9140625" style="6" customWidth="1"/>
    <col min="6" max="6" width="11.6640625" style="6" bestFit="1" customWidth="1"/>
    <col min="7" max="7" width="11.4140625" style="6" customWidth="1"/>
    <col min="8" max="8" width="14.9140625" style="6" customWidth="1"/>
    <col min="9" max="9" width="17.25" style="6" customWidth="1"/>
    <col min="10" max="10" width="12.25" style="6" customWidth="1"/>
    <col min="11" max="11" width="9.6640625" style="6"/>
    <col min="12" max="12" width="11" style="6" customWidth="1"/>
    <col min="13" max="13" width="11.9140625" style="6" customWidth="1"/>
    <col min="14" max="14" width="10.08203125" style="6" customWidth="1"/>
    <col min="15" max="15" width="11.6640625" style="6" customWidth="1"/>
    <col min="16" max="16" width="11.75" style="6" customWidth="1"/>
    <col min="17" max="17" width="11.9140625" style="6" customWidth="1"/>
    <col min="18" max="18" width="11.33203125" style="6" customWidth="1"/>
    <col min="19" max="16384" width="9.6640625" style="6"/>
  </cols>
  <sheetData>
    <row r="1" spans="2:17" x14ac:dyDescent="0.35">
      <c r="B1" s="5" t="s">
        <v>130</v>
      </c>
      <c r="G1" s="7" t="s">
        <v>0</v>
      </c>
      <c r="H1" s="133" t="s">
        <v>232</v>
      </c>
      <c r="I1" s="8"/>
      <c r="J1" s="8"/>
      <c r="K1" s="8"/>
      <c r="L1" s="8"/>
      <c r="M1" s="9"/>
      <c r="N1" s="9"/>
      <c r="O1" s="9"/>
      <c r="P1" s="9"/>
      <c r="Q1" s="9"/>
    </row>
    <row r="2" spans="2:17" x14ac:dyDescent="0.35">
      <c r="G2" s="7" t="s">
        <v>1</v>
      </c>
      <c r="H2" s="10">
        <v>43525</v>
      </c>
      <c r="I2" s="8"/>
      <c r="J2" s="8"/>
      <c r="K2" s="8"/>
      <c r="L2" s="11"/>
      <c r="M2" s="9"/>
      <c r="N2" s="9"/>
      <c r="O2" s="9"/>
      <c r="P2" s="9"/>
      <c r="Q2" s="9"/>
    </row>
    <row r="3" spans="2:17" x14ac:dyDescent="0.35">
      <c r="B3" s="12" t="s">
        <v>126</v>
      </c>
      <c r="G3" s="7" t="s">
        <v>2</v>
      </c>
    </row>
    <row r="5" spans="2:17" x14ac:dyDescent="0.35">
      <c r="B5" s="6" t="s">
        <v>131</v>
      </c>
    </row>
    <row r="7" spans="2:17" x14ac:dyDescent="0.35">
      <c r="B7" s="6" t="s">
        <v>8</v>
      </c>
      <c r="E7" s="220">
        <v>43586</v>
      </c>
      <c r="H7" s="129"/>
      <c r="I7" s="129"/>
      <c r="J7" s="129"/>
    </row>
    <row r="8" spans="2:17" x14ac:dyDescent="0.35">
      <c r="B8" s="6" t="s">
        <v>10</v>
      </c>
      <c r="E8" s="221">
        <v>43951</v>
      </c>
      <c r="H8" s="129"/>
      <c r="I8" s="129"/>
      <c r="J8" s="129"/>
    </row>
    <row r="9" spans="2:17" x14ac:dyDescent="0.35">
      <c r="B9" s="6" t="s">
        <v>11</v>
      </c>
      <c r="E9" s="13">
        <f>E8-E7</f>
        <v>365</v>
      </c>
      <c r="H9" s="129"/>
      <c r="I9" s="129"/>
      <c r="J9" s="129"/>
    </row>
    <row r="11" spans="2:17" x14ac:dyDescent="0.35">
      <c r="E11" s="7" t="s">
        <v>3</v>
      </c>
      <c r="F11" s="7" t="s">
        <v>4</v>
      </c>
    </row>
    <row r="12" spans="2:17" x14ac:dyDescent="0.35">
      <c r="E12" s="7" t="s">
        <v>5</v>
      </c>
      <c r="F12" s="7" t="s">
        <v>5</v>
      </c>
    </row>
    <row r="13" spans="2:17" x14ac:dyDescent="0.35">
      <c r="B13" s="6" t="s">
        <v>6</v>
      </c>
      <c r="E13" s="222">
        <v>300</v>
      </c>
      <c r="F13" s="14">
        <v>276</v>
      </c>
      <c r="H13" s="6" t="s">
        <v>121</v>
      </c>
      <c r="J13" s="15">
        <f>IF(E9=0,0,(E14-E13)/E9)</f>
        <v>0.31041095890410964</v>
      </c>
    </row>
    <row r="14" spans="2:17" x14ac:dyDescent="0.35">
      <c r="B14" s="6" t="s">
        <v>9</v>
      </c>
      <c r="E14" s="223">
        <v>413.3</v>
      </c>
      <c r="F14" s="16">
        <v>380.23599999999999</v>
      </c>
    </row>
    <row r="15" spans="2:17" x14ac:dyDescent="0.35">
      <c r="B15" s="6" t="s">
        <v>7</v>
      </c>
      <c r="E15" s="224">
        <v>2.0470942028985504</v>
      </c>
      <c r="H15" s="6" t="s">
        <v>122</v>
      </c>
      <c r="J15" s="18">
        <f>F13*E15</f>
        <v>564.99799999999993</v>
      </c>
    </row>
    <row r="16" spans="2:17" x14ac:dyDescent="0.35">
      <c r="B16" s="6" t="s">
        <v>103</v>
      </c>
      <c r="E16" s="225">
        <v>2.167137630313805</v>
      </c>
      <c r="H16" s="6" t="s">
        <v>123</v>
      </c>
      <c r="J16" s="20">
        <f>E16*J18</f>
        <v>824.02374399999997</v>
      </c>
    </row>
    <row r="17" spans="2:11" x14ac:dyDescent="0.35">
      <c r="F17" s="21"/>
    </row>
    <row r="18" spans="2:11" x14ac:dyDescent="0.35">
      <c r="B18" s="6" t="s">
        <v>12</v>
      </c>
      <c r="E18" s="226">
        <v>1</v>
      </c>
      <c r="H18" s="6" t="s">
        <v>14</v>
      </c>
      <c r="J18" s="22">
        <f>F14*E18</f>
        <v>380.23599999999999</v>
      </c>
    </row>
    <row r="19" spans="2:11" x14ac:dyDescent="0.35">
      <c r="B19" s="12" t="s">
        <v>13</v>
      </c>
    </row>
    <row r="20" spans="2:11" x14ac:dyDescent="0.35">
      <c r="B20" s="6" t="s">
        <v>102</v>
      </c>
      <c r="E20" s="227">
        <v>455</v>
      </c>
      <c r="H20" s="6" t="s">
        <v>124</v>
      </c>
      <c r="J20" s="22">
        <f>(E13+E14)/2</f>
        <v>356.65</v>
      </c>
    </row>
    <row r="22" spans="2:11" x14ac:dyDescent="0.35">
      <c r="B22" s="6" t="s">
        <v>15</v>
      </c>
      <c r="E22" s="228">
        <v>0.04</v>
      </c>
      <c r="H22" s="6" t="s">
        <v>104</v>
      </c>
      <c r="J22" s="23">
        <f>IF(E20&lt;=0,0,(J20/E20)*(E9/365))</f>
        <v>0.78384615384615375</v>
      </c>
    </row>
    <row r="23" spans="2:11" x14ac:dyDescent="0.35">
      <c r="B23" s="6" t="s">
        <v>100</v>
      </c>
      <c r="E23" s="229">
        <v>24.29</v>
      </c>
    </row>
    <row r="24" spans="2:11" x14ac:dyDescent="0.35">
      <c r="B24" s="6" t="s">
        <v>101</v>
      </c>
      <c r="E24" s="230">
        <v>0.05</v>
      </c>
    </row>
    <row r="26" spans="2:11" x14ac:dyDescent="0.35">
      <c r="B26" s="6" t="s">
        <v>16</v>
      </c>
      <c r="E26" s="18">
        <f>$F$14*$G36*(1-$E$22)-($F$13*$C$42)-$E$23</f>
        <v>201.77479423999998</v>
      </c>
      <c r="G26"/>
      <c r="H26"/>
      <c r="I26"/>
      <c r="J26"/>
      <c r="K26" s="129"/>
    </row>
    <row r="27" spans="2:11" x14ac:dyDescent="0.35">
      <c r="B27" s="6" t="s">
        <v>17</v>
      </c>
      <c r="E27" s="26">
        <f>IF(J22&lt;=0,0,E26/$J$22)</f>
        <v>257.41632238665358</v>
      </c>
    </row>
    <row r="28" spans="2:11" x14ac:dyDescent="0.35">
      <c r="B28" s="6" t="s">
        <v>18</v>
      </c>
      <c r="E28" s="26">
        <f>E27/12</f>
        <v>21.451360198887798</v>
      </c>
    </row>
    <row r="29" spans="2:11" x14ac:dyDescent="0.35">
      <c r="B29" s="6" t="s">
        <v>19</v>
      </c>
      <c r="E29" s="27">
        <f>IF(E9&lt;=0,0,E26/(($E$9/365)*(($F$13*$C$60+(1-$E$22)*($F$14*$G36)+$E$23)/2)))</f>
        <v>0.29235292228899556</v>
      </c>
      <c r="G29" s="28"/>
      <c r="H29" s="28"/>
    </row>
    <row r="30" spans="2:11" x14ac:dyDescent="0.35">
      <c r="G30" s="28"/>
    </row>
    <row r="31" spans="2:11" x14ac:dyDescent="0.35">
      <c r="B31" s="6" t="s">
        <v>20</v>
      </c>
      <c r="E31" s="17">
        <v>0.1</v>
      </c>
      <c r="G31"/>
      <c r="H31"/>
      <c r="I31"/>
      <c r="J31"/>
    </row>
    <row r="32" spans="2:11" x14ac:dyDescent="0.35">
      <c r="B32" s="6" t="s">
        <v>21</v>
      </c>
      <c r="E32" s="19">
        <v>0.1</v>
      </c>
      <c r="G32"/>
      <c r="H32"/>
      <c r="I32"/>
      <c r="J32"/>
    </row>
    <row r="34" spans="2:18" x14ac:dyDescent="0.35">
      <c r="D34" s="28"/>
    </row>
    <row r="35" spans="2:18" x14ac:dyDescent="0.35">
      <c r="B35" s="29" t="str">
        <f>IF(E18=1,"Sale price $/kg live","Sale price $/kg DW")</f>
        <v>Sale price $/kg live</v>
      </c>
      <c r="D35" s="30">
        <f>E35-$E$31</f>
        <v>1.8671376303138048</v>
      </c>
      <c r="E35" s="31">
        <f>F35-$E$31</f>
        <v>1.9671376303138048</v>
      </c>
      <c r="F35" s="31">
        <f>G35-$E$31</f>
        <v>2.0671376303138049</v>
      </c>
      <c r="G35" s="32">
        <f>E16</f>
        <v>2.167137630313805</v>
      </c>
      <c r="H35" s="31">
        <f>G35+$E$31</f>
        <v>2.2671376303138051</v>
      </c>
      <c r="I35" s="31">
        <f>H35+$E$31</f>
        <v>2.3671376303138052</v>
      </c>
      <c r="J35" s="33">
        <f>I35+$E$31</f>
        <v>2.4671376303138053</v>
      </c>
      <c r="L35" s="30">
        <f t="shared" ref="L35:R36" si="0">D35</f>
        <v>1.8671376303138048</v>
      </c>
      <c r="M35" s="31">
        <f t="shared" si="0"/>
        <v>1.9671376303138048</v>
      </c>
      <c r="N35" s="31">
        <f t="shared" si="0"/>
        <v>2.0671376303138049</v>
      </c>
      <c r="O35" s="32">
        <f t="shared" si="0"/>
        <v>2.167137630313805</v>
      </c>
      <c r="P35" s="31">
        <f t="shared" si="0"/>
        <v>2.2671376303138051</v>
      </c>
      <c r="Q35" s="31">
        <f t="shared" si="0"/>
        <v>2.3671376303138052</v>
      </c>
      <c r="R35" s="33">
        <f t="shared" si="0"/>
        <v>2.4671376303138053</v>
      </c>
    </row>
    <row r="36" spans="2:18" x14ac:dyDescent="0.35">
      <c r="B36" s="12" t="s">
        <v>22</v>
      </c>
      <c r="D36" s="34">
        <f t="shared" ref="D36:J36" si="1">$E$18*D35</f>
        <v>1.8671376303138048</v>
      </c>
      <c r="E36" s="35">
        <f t="shared" si="1"/>
        <v>1.9671376303138048</v>
      </c>
      <c r="F36" s="35">
        <f t="shared" si="1"/>
        <v>2.0671376303138049</v>
      </c>
      <c r="G36" s="35">
        <f t="shared" si="1"/>
        <v>2.167137630313805</v>
      </c>
      <c r="H36" s="35">
        <f t="shared" si="1"/>
        <v>2.2671376303138051</v>
      </c>
      <c r="I36" s="35">
        <f t="shared" si="1"/>
        <v>2.3671376303138052</v>
      </c>
      <c r="J36" s="36">
        <f t="shared" si="1"/>
        <v>2.4671376303138053</v>
      </c>
      <c r="L36" s="34">
        <f t="shared" si="0"/>
        <v>1.8671376303138048</v>
      </c>
      <c r="M36" s="35">
        <f t="shared" si="0"/>
        <v>1.9671376303138048</v>
      </c>
      <c r="N36" s="35">
        <f t="shared" si="0"/>
        <v>2.0671376303138049</v>
      </c>
      <c r="O36" s="35">
        <f t="shared" si="0"/>
        <v>2.167137630313805</v>
      </c>
      <c r="P36" s="35">
        <f t="shared" si="0"/>
        <v>2.2671376303138051</v>
      </c>
      <c r="Q36" s="35">
        <f t="shared" si="0"/>
        <v>2.3671376303138052</v>
      </c>
      <c r="R36" s="36">
        <f t="shared" si="0"/>
        <v>2.4671376303138053</v>
      </c>
    </row>
    <row r="38" spans="2:18" x14ac:dyDescent="0.35">
      <c r="B38" s="29" t="s">
        <v>23</v>
      </c>
      <c r="C38" s="28"/>
      <c r="D38" s="12" t="s">
        <v>24</v>
      </c>
      <c r="L38" s="12" t="s">
        <v>25</v>
      </c>
    </row>
    <row r="39" spans="2:18" x14ac:dyDescent="0.35">
      <c r="C39" s="37">
        <f>C40-$E$32</f>
        <v>1.7470942028985501</v>
      </c>
      <c r="D39" s="38">
        <f>$F$14*$D36*(1-$E$22)-($F$13*C$39)-$E$23</f>
        <v>175.0668262400001</v>
      </c>
      <c r="E39" s="39">
        <f>$F$14*$E36*(1-$E$22)-($F$13*C$39)-$E$23</f>
        <v>211.5694822400001</v>
      </c>
      <c r="F39" s="39">
        <f>$F$14*$F36*(1-$E$22)-($F$13*C$39)-$E$23</f>
        <v>248.07213823999999</v>
      </c>
      <c r="G39" s="39">
        <f>$F$14*$G36*(1-$E$22)-($F$13*C$39)-$E$23</f>
        <v>284.57479424000007</v>
      </c>
      <c r="H39" s="39">
        <f>$F$14*$H36*(1-$E$22)-($F$13*C$39)-$E$23</f>
        <v>321.07745024000008</v>
      </c>
      <c r="I39" s="39">
        <f>$F$14*$I36*(1-$E$22)-($F$13*C$39)-$E$23</f>
        <v>357.58010624000019</v>
      </c>
      <c r="J39" s="40">
        <f>$F$14*$J36*(1-$E$22)-($F$13*C$39)-$E$23</f>
        <v>394.08276224000019</v>
      </c>
      <c r="L39" s="38">
        <f>D39-($E$24*($E$9/365)*(($F$13*C$39+(1-$E$22)*($F$14*$D36)+$E$23)/2))</f>
        <v>145.36575558400011</v>
      </c>
      <c r="M39" s="39">
        <f>E39-($E$24*($E$9/365)*(($F$13*C$39+(1-$E$22)*($F$14*$E36)+$E$23)/2))</f>
        <v>180.95584518400011</v>
      </c>
      <c r="N39" s="39">
        <f>F39-($E$24*($E$9/365)*(($F$13*C$39+(1-$E$22)*($F$14*$F36)+$E$23)/2))</f>
        <v>216.545934784</v>
      </c>
      <c r="O39" s="39">
        <f>G39-($E$24*($E$9/365)*(($F$13*C$39+(1-$E$22)*($F$14*$G36)+$E$23)/2))</f>
        <v>252.13602438400008</v>
      </c>
      <c r="P39" s="39">
        <f>H39-($E$24*($E$9/365)*(($F$13*C$39+(1-$E$22)*($F$14*$H36)+$E$23)/2))</f>
        <v>287.72611398400011</v>
      </c>
      <c r="Q39" s="39">
        <f>I39-($E$24*($E$9/365)*(($F$13*C$39+(1-$E$22)*($F$14*$I36)+$E$23)/2))</f>
        <v>323.31620358400022</v>
      </c>
      <c r="R39" s="40">
        <f>J39-($E$24*($E$9/365)*(($F$13*C$39+(1-$E$22)*($F$14*$J36)+$E$23)/2))</f>
        <v>358.90629318400022</v>
      </c>
    </row>
    <row r="40" spans="2:18" x14ac:dyDescent="0.35">
      <c r="C40" s="41">
        <f>C41-$E$32</f>
        <v>1.8470942028985502</v>
      </c>
      <c r="D40" s="42">
        <f>$F$14*$D36*(1-$E$22)-($F$13*C$40)-$E$23</f>
        <v>147.46682624000007</v>
      </c>
      <c r="E40" s="43">
        <f>$F$14*$E36*(1-$E$22)-($F$13*C$40)-$E$23</f>
        <v>183.96948224000008</v>
      </c>
      <c r="F40" s="43">
        <f>$F$14*$F36*(1-$E$22)-($F$13*C$40)-$E$23</f>
        <v>220.47213823999996</v>
      </c>
      <c r="G40" s="43">
        <f>$F$14*$G36*(1-$E$22)-($F$13*C$40)-$E$23</f>
        <v>256.97479424000005</v>
      </c>
      <c r="H40" s="43">
        <f>$F$14*$H36*(1-$E$22)-($F$13*C$40)-$E$23</f>
        <v>293.47745024000005</v>
      </c>
      <c r="I40" s="43">
        <f>$F$14*$I36*(1-$E$22)-($F$13*C$40)-$E$23</f>
        <v>329.98010624000017</v>
      </c>
      <c r="J40" s="44">
        <f>$F$14*$J36*(1-$E$22)-($F$13*C$40)-$E$23</f>
        <v>366.48276224000017</v>
      </c>
      <c r="L40" s="42">
        <f>D40-($E$24*($E$9/365)*(($F$13*C$40+(1-$E$22)*($F$14*$D36)+$E$23)/2))</f>
        <v>117.07575558400008</v>
      </c>
      <c r="M40" s="43">
        <f>E40-($E$24*($E$9/365)*(($F$13*C$40+(1-$E$22)*($F$14*$E36)+$E$23)/2))</f>
        <v>152.66584518400009</v>
      </c>
      <c r="N40" s="43">
        <f>F40-($E$24*($E$9/365)*(($F$13*C$40+(1-$E$22)*($F$14*$F36)+$E$23)/2))</f>
        <v>188.25593478399998</v>
      </c>
      <c r="O40" s="43">
        <f>G40-($E$24*($E$9/365)*(($F$13*C$40+(1-$E$22)*($F$14*$G36)+$E$23)/2))</f>
        <v>223.84602438400006</v>
      </c>
      <c r="P40" s="43">
        <f>H40-($E$24*($E$9/365)*(($F$13*C$40+(1-$E$22)*($F$14*$H36)+$E$23)/2))</f>
        <v>259.43611398400003</v>
      </c>
      <c r="Q40" s="43">
        <f>I40-($E$24*($E$9/365)*(($F$13*C$40+(1-$E$22)*($F$14*$I36)+$E$23)/2))</f>
        <v>295.0262035840002</v>
      </c>
      <c r="R40" s="44">
        <f>J40-($E$24*($E$9/365)*(($F$13*C$40+(1-$E$22)*($F$14*$J36)+$E$23)/2))</f>
        <v>330.6162931840002</v>
      </c>
    </row>
    <row r="41" spans="2:18" x14ac:dyDescent="0.35">
      <c r="C41" s="41">
        <f>C42-$E$32</f>
        <v>1.9470942028985503</v>
      </c>
      <c r="D41" s="42">
        <f>$F$14*$D36*(1-$E$22)-($F$13*C$41)-$E$23</f>
        <v>119.86682623999999</v>
      </c>
      <c r="E41" s="43">
        <f>$F$14*$E36*(1-$E$22)-($F$13*C$41)-$E$23</f>
        <v>156.36948224</v>
      </c>
      <c r="F41" s="43">
        <f>$F$14*$F36*(1-$E$22)-($F$13*C$41)-$E$23</f>
        <v>192.87213823999988</v>
      </c>
      <c r="G41" s="43">
        <f>$F$14*$G36*(1-$E$22)-($F$13*C$41)-$E$23</f>
        <v>229.37479424</v>
      </c>
      <c r="H41" s="43">
        <f>$F$14*$H36*(1-$E$22)-($F$13*C$41)-$E$23</f>
        <v>265.87745023999997</v>
      </c>
      <c r="I41" s="43">
        <f>$F$14*$I36*(1-$E$22)-($F$13*C$41)-$E$23</f>
        <v>302.38010624000009</v>
      </c>
      <c r="J41" s="44">
        <f>$F$14*$J36*(1-$E$22)-($F$13*C$41)-$E$23</f>
        <v>338.88276224000009</v>
      </c>
      <c r="L41" s="42">
        <f>D41-($E$24*($E$9/365)*(($F$13*C$41+(1-$E$22)*($F$14*$D36)+$E$23)/2))</f>
        <v>88.785755584</v>
      </c>
      <c r="M41" s="43">
        <f>E41-($E$24*($E$9/365)*(($F$13*C$41+(1-$E$22)*($F$14*$E36)+$E$23)/2))</f>
        <v>124.375845184</v>
      </c>
      <c r="N41" s="43">
        <f>F41-($E$24*($E$9/365)*(($F$13*C$41+(1-$E$22)*($F$14*$F36)+$E$23)/2))</f>
        <v>159.9659347839999</v>
      </c>
      <c r="O41" s="43">
        <f>G41-($E$24*($E$9/365)*(($F$13*C$41+(1-$E$22)*($F$14*$G36)+$E$23)/2))</f>
        <v>195.55602438400001</v>
      </c>
      <c r="P41" s="43">
        <f>H41-($E$24*($E$9/365)*(($F$13*C$41+(1-$E$22)*($F$14*$H36)+$E$23)/2))</f>
        <v>231.14611398399998</v>
      </c>
      <c r="Q41" s="43">
        <f>I41-($E$24*($E$9/365)*(($F$13*C$41+(1-$E$22)*($F$14*$I36)+$E$23)/2))</f>
        <v>266.73620358400007</v>
      </c>
      <c r="R41" s="44">
        <f>J41-($E$24*($E$9/365)*(($F$13*C$41+(1-$E$22)*($F$14*$J36)+$E$23)/2))</f>
        <v>302.32629318400006</v>
      </c>
    </row>
    <row r="42" spans="2:18" x14ac:dyDescent="0.35">
      <c r="C42" s="41">
        <f>E15</f>
        <v>2.0470942028985504</v>
      </c>
      <c r="D42" s="45">
        <f>$F$14*$D36*(1-$E$22)-($F$13*C$42)-$E$23</f>
        <v>92.266826239999972</v>
      </c>
      <c r="E42" s="46">
        <f>$F$14*$E36*(1-$E$22)-($F$13*C$42)-$E$23</f>
        <v>128.76948223999997</v>
      </c>
      <c r="F42" s="46">
        <f>$F$14*$F36*(1-$E$22)-($F$13*C$42)-$E$23</f>
        <v>165.27213823999986</v>
      </c>
      <c r="G42" s="47">
        <f>$F$14*$G36*(1-$E$22)-($F$13*C$42)-$E$23</f>
        <v>201.77479423999998</v>
      </c>
      <c r="H42" s="46">
        <f>$F$14*$H36*(1-$E$22)-($F$13*C$42)-$E$23</f>
        <v>238.27745023999998</v>
      </c>
      <c r="I42" s="46">
        <f>$F$14*$I36*(1-$E$22)-($F$13*C$42)-$E$23</f>
        <v>274.78010624000007</v>
      </c>
      <c r="J42" s="48">
        <f>$F$14*$J36*(1-$E$22)-($F$13*C$42)-$E$23</f>
        <v>311.28276224000007</v>
      </c>
      <c r="L42" s="45">
        <f>D42-($E$24*($E$9/365)*(($F$13*C$42+(1-$E$22)*($F$14*$D36)+$E$23)/2))</f>
        <v>60.49575558399998</v>
      </c>
      <c r="M42" s="46">
        <f>E42-($E$24*($E$9/365)*(($F$13*C$42+(1-$E$22)*($F$14*$E36)+$E$23)/2))</f>
        <v>96.085845183999965</v>
      </c>
      <c r="N42" s="46">
        <f>F42-($E$24*($E$9/365)*(($F$13*C$42+(1-$E$22)*($F$14*$F36)+$E$23)/2))</f>
        <v>131.67593478399988</v>
      </c>
      <c r="O42" s="47">
        <f>G42-($E$24*($E$9/365)*(($F$13*C$42+(1-$E$22)*($F$14*$G36)+$E$23)/2))</f>
        <v>167.26602438399999</v>
      </c>
      <c r="P42" s="46">
        <f>H42-($E$24*($E$9/365)*(($F$13*C$42+(1-$E$22)*($F$14*$H36)+$E$23)/2))</f>
        <v>202.85611398399999</v>
      </c>
      <c r="Q42" s="46">
        <f>I42-($E$24*($E$9/365)*(($F$13*C$42+(1-$E$22)*($F$14*$I36)+$E$23)/2))</f>
        <v>238.44620358400007</v>
      </c>
      <c r="R42" s="48">
        <f>J42-($E$24*($E$9/365)*(($F$13*C$42+(1-$E$22)*($F$14*$J36)+$E$23)/2))</f>
        <v>274.03629318400004</v>
      </c>
    </row>
    <row r="43" spans="2:18" x14ac:dyDescent="0.35">
      <c r="C43" s="41">
        <f>C42+$E$32</f>
        <v>2.1470942028985505</v>
      </c>
      <c r="D43" s="42">
        <f>$F$14*$D36*(1-$E$22)-($F$13*C$43)-$E$23</f>
        <v>64.666826239999949</v>
      </c>
      <c r="E43" s="43">
        <f>$F$14*$E36*(1-$E$22)-($F$13*C$43)-$E$23</f>
        <v>101.16948223999995</v>
      </c>
      <c r="F43" s="43">
        <f>$F$14*$F36*(1-$E$22)-($F$13*C$43)-$E$23</f>
        <v>137.67213823999984</v>
      </c>
      <c r="G43" s="43">
        <f>$F$14*$G36*(1-$E$22)-($F$13*C$43)-$E$23</f>
        <v>174.17479423999995</v>
      </c>
      <c r="H43" s="43">
        <f>$F$14*$H36*(1-$E$22)-($F$13*C$43)-$E$23</f>
        <v>210.67745023999996</v>
      </c>
      <c r="I43" s="43">
        <f>$F$14*$I36*(1-$E$22)-($F$13*C$43)-$E$23</f>
        <v>247.18010624000007</v>
      </c>
      <c r="J43" s="44">
        <f>$F$14*$J36*(1-$E$22)-($F$13*C$43)-$E$23</f>
        <v>283.68276224000005</v>
      </c>
      <c r="L43" s="42">
        <f>D43-($E$24*($E$9/365)*(($F$13*C$43+(1-$E$22)*($F$14*$D36)+$E$23)/2))</f>
        <v>32.205755583999952</v>
      </c>
      <c r="M43" s="43">
        <f>E43-($E$24*($E$9/365)*(($F$13*C$43+(1-$E$22)*($F$14*$E36)+$E$23)/2))</f>
        <v>67.795845183999944</v>
      </c>
      <c r="N43" s="43">
        <f>F43-($E$24*($E$9/365)*(($F$13*C$43+(1-$E$22)*($F$14*$F36)+$E$23)/2))</f>
        <v>103.38593478399984</v>
      </c>
      <c r="O43" s="43">
        <f>G43-($E$24*($E$9/365)*(($F$13*C$43+(1-$E$22)*($F$14*$G36)+$E$23)/2))</f>
        <v>138.97602438399997</v>
      </c>
      <c r="P43" s="43">
        <f>H43-($E$24*($E$9/365)*(($F$13*C$43+(1-$E$22)*($F$14*$H36)+$E$23)/2))</f>
        <v>174.56611398399997</v>
      </c>
      <c r="Q43" s="43">
        <f>I43-($E$24*($E$9/365)*(($F$13*C$43+(1-$E$22)*($F$14*$I36)+$E$23)/2))</f>
        <v>210.15620358400008</v>
      </c>
      <c r="R43" s="44">
        <f>J43-($E$24*($E$9/365)*(($F$13*C$43+(1-$E$22)*($F$14*$J36)+$E$23)/2))</f>
        <v>245.74629318400005</v>
      </c>
    </row>
    <row r="44" spans="2:18" x14ac:dyDescent="0.35">
      <c r="C44" s="41">
        <f>C43+$E$32</f>
        <v>2.2470942028985506</v>
      </c>
      <c r="D44" s="42">
        <f>$F$14*$D36*(1-$E$22)-($F$13*C$44)-$E$23</f>
        <v>37.066826239999919</v>
      </c>
      <c r="E44" s="43">
        <f>$F$14*$E36*(1-$E$22)-($F$13*C$44)-$E$23</f>
        <v>73.569482239999928</v>
      </c>
      <c r="F44" s="43">
        <f>$F$14*$F36*(1-$E$22)-($F$13*C$44)-$E$23</f>
        <v>110.07213823999982</v>
      </c>
      <c r="G44" s="43">
        <f>$F$14*$G36*(1-$E$22)-($F$13*C$44)-$E$23</f>
        <v>146.57479423999993</v>
      </c>
      <c r="H44" s="43">
        <f>$F$14*$H36*(1-$E$22)-($F$13*C$44)-$E$23</f>
        <v>183.07745023999993</v>
      </c>
      <c r="I44" s="43">
        <f>$F$14*$I36*(1-$E$22)-($F$13*C$44)-$E$23</f>
        <v>219.58010624000005</v>
      </c>
      <c r="J44" s="44">
        <f>$F$14*$J36*(1-$E$22)-($F$13*C$44)-$E$23</f>
        <v>256.08276224000002</v>
      </c>
      <c r="L44" s="42">
        <f>D44-($E$24*($E$9/365)*(($F$13*C$44+(1-$E$22)*($F$14*$D36)+$E$23)/2))</f>
        <v>3.9157555839999247</v>
      </c>
      <c r="M44" s="43">
        <f>E44-($E$24*($E$9/365)*(($F$13*C$44+(1-$E$22)*($F$14*$E36)+$E$23)/2))</f>
        <v>39.505845183999931</v>
      </c>
      <c r="N44" s="43">
        <f>F44-($E$24*($E$9/365)*(($F$13*C$44+(1-$E$22)*($F$14*$F36)+$E$23)/2))</f>
        <v>75.095934783999809</v>
      </c>
      <c r="O44" s="43">
        <f>G44-($E$24*($E$9/365)*(($F$13*C$44+(1-$E$22)*($F$14*$G36)+$E$23)/2))</f>
        <v>110.68602438399992</v>
      </c>
      <c r="P44" s="43">
        <f>H44-($E$24*($E$9/365)*(($F$13*C$44+(1-$E$22)*($F$14*$H36)+$E$23)/2))</f>
        <v>146.27611398399995</v>
      </c>
      <c r="Q44" s="43">
        <f>I44-($E$24*($E$9/365)*(($F$13*C$44+(1-$E$22)*($F$14*$I36)+$E$23)/2))</f>
        <v>181.86620358400006</v>
      </c>
      <c r="R44" s="44">
        <f>J44-($E$24*($E$9/365)*(($F$13*C$44+(1-$E$22)*($F$14*$J36)+$E$23)/2))</f>
        <v>217.45629318400003</v>
      </c>
    </row>
    <row r="45" spans="2:18" x14ac:dyDescent="0.35">
      <c r="C45" s="49">
        <f>C44+$E$32</f>
        <v>2.3470942028985506</v>
      </c>
      <c r="D45" s="50">
        <f>$F$14*$D36*(1-$E$22)-($F$13*C$45)-$E$23</f>
        <v>9.4668262399998966</v>
      </c>
      <c r="E45" s="51">
        <f>$F$14*$E36*(1-$E$22)-($F$13*C$45)-$E$23</f>
        <v>45.969482239999898</v>
      </c>
      <c r="F45" s="51">
        <f>$F$14*$F36*(1-$E$22)-($F$13*C$45)-$E$23</f>
        <v>82.472138239999794</v>
      </c>
      <c r="G45" s="51">
        <f>$F$14*$G36*(1-$E$22)-($F$13*C$45)-$E$23</f>
        <v>118.97479423999991</v>
      </c>
      <c r="H45" s="51">
        <f>$F$14*$H36*(1-$E$22)-($F$13*C$45)-$E$23</f>
        <v>155.47745023999991</v>
      </c>
      <c r="I45" s="51">
        <f>$F$14*$I36*(1-$E$22)-($F$13*C$45)-$E$23</f>
        <v>191.98010624000003</v>
      </c>
      <c r="J45" s="52">
        <f>$F$14*$J36*(1-$E$22)-($F$13*C$45)-$E$23</f>
        <v>228.48276224000003</v>
      </c>
      <c r="L45" s="50">
        <f>D45-($E$24*($E$9/365)*(($F$13*C$45+(1-$E$22)*($F$14*$D36)+$E$23)/2))</f>
        <v>-24.374244416000103</v>
      </c>
      <c r="M45" s="51">
        <f>E45-($E$24*($E$9/365)*(($F$13*C$45+(1-$E$22)*($F$14*$E36)+$E$23)/2))</f>
        <v>11.215845183999903</v>
      </c>
      <c r="N45" s="51">
        <f>F45-($E$24*($E$9/365)*(($F$13*C$45+(1-$E$22)*($F$14*$F36)+$E$23)/2))</f>
        <v>46.805934783999795</v>
      </c>
      <c r="O45" s="51">
        <f>G45-($E$24*($E$9/365)*(($F$13*C$45+(1-$E$22)*($F$14*$G36)+$E$23)/2))</f>
        <v>82.396024383999901</v>
      </c>
      <c r="P45" s="51">
        <f>H45-($E$24*($E$9/365)*(($F$13*C$45+(1-$E$22)*($F$14*$H36)+$E$23)/2))</f>
        <v>117.9861139839999</v>
      </c>
      <c r="Q45" s="51">
        <f>I45-($E$24*($E$9/365)*(($F$13*C$45+(1-$E$22)*($F$14*$I36)+$E$23)/2))</f>
        <v>153.57620358400001</v>
      </c>
      <c r="R45" s="52">
        <f>J45-($E$24*($E$9/365)*(($F$13*C$45+(1-$E$22)*($F$14*$J36)+$E$23)/2))</f>
        <v>189.16629318400004</v>
      </c>
    </row>
    <row r="47" spans="2:18" x14ac:dyDescent="0.35">
      <c r="C47" s="28"/>
      <c r="D47" s="12" t="s">
        <v>26</v>
      </c>
      <c r="L47" s="12" t="s">
        <v>27</v>
      </c>
    </row>
    <row r="48" spans="2:18" x14ac:dyDescent="0.35">
      <c r="C48" s="37">
        <f t="shared" ref="C48:C54" si="2">C39</f>
        <v>1.7470942028985501</v>
      </c>
      <c r="D48" s="38">
        <f>IF($J$22&lt;=0,0,D39/$J$22)</f>
        <v>223.34335045338582</v>
      </c>
      <c r="E48" s="39">
        <f t="shared" ref="E48:J52" si="3">IF($J$22&lt;=0,0,E39/$J$22)</f>
        <v>269.91199893228674</v>
      </c>
      <c r="F48" s="39">
        <f t="shared" si="3"/>
        <v>316.48064741118748</v>
      </c>
      <c r="G48" s="39">
        <f t="shared" si="3"/>
        <v>363.04929589008844</v>
      </c>
      <c r="H48" s="39">
        <f t="shared" si="3"/>
        <v>409.61794436898936</v>
      </c>
      <c r="I48" s="39">
        <f t="shared" si="3"/>
        <v>456.18659284789038</v>
      </c>
      <c r="J48" s="40">
        <f t="shared" si="3"/>
        <v>502.75524132679129</v>
      </c>
      <c r="L48" s="38">
        <f>IF($J$22&lt;=0,0,L39/$J$22)</f>
        <v>185.4518962308147</v>
      </c>
      <c r="M48" s="39">
        <f t="shared" ref="M48:R52" si="4">IF($J$22&lt;=0,0,M39/$J$22)</f>
        <v>230.85632849774305</v>
      </c>
      <c r="N48" s="39">
        <f t="shared" si="4"/>
        <v>276.26076076467126</v>
      </c>
      <c r="O48" s="39">
        <f t="shared" si="4"/>
        <v>321.66519303159976</v>
      </c>
      <c r="P48" s="39">
        <f t="shared" si="4"/>
        <v>367.06962529852814</v>
      </c>
      <c r="Q48" s="39">
        <f t="shared" si="4"/>
        <v>412.47405756545669</v>
      </c>
      <c r="R48" s="40">
        <f t="shared" si="4"/>
        <v>457.87848983238501</v>
      </c>
    </row>
    <row r="49" spans="3:18" x14ac:dyDescent="0.35">
      <c r="C49" s="41">
        <f t="shared" si="2"/>
        <v>1.8470942028985502</v>
      </c>
      <c r="D49" s="42">
        <f>IF($J$22&lt;=0,0,D40/$J$22)</f>
        <v>188.13235928557421</v>
      </c>
      <c r="E49" s="43">
        <f t="shared" si="3"/>
        <v>234.70100776447509</v>
      </c>
      <c r="F49" s="43">
        <f t="shared" si="3"/>
        <v>281.26965624337583</v>
      </c>
      <c r="G49" s="43">
        <f t="shared" si="3"/>
        <v>327.83830472227686</v>
      </c>
      <c r="H49" s="43">
        <f t="shared" si="3"/>
        <v>374.40695320117771</v>
      </c>
      <c r="I49" s="43">
        <f t="shared" si="3"/>
        <v>420.9756016800788</v>
      </c>
      <c r="J49" s="44">
        <f t="shared" si="3"/>
        <v>467.54425015897965</v>
      </c>
      <c r="L49" s="42">
        <f>IF($J$22&lt;=0,0,L40/$J$22)</f>
        <v>149.36063028380778</v>
      </c>
      <c r="M49" s="43">
        <f t="shared" si="4"/>
        <v>194.76506255073616</v>
      </c>
      <c r="N49" s="43">
        <f t="shared" si="4"/>
        <v>240.16949481766437</v>
      </c>
      <c r="O49" s="43">
        <f t="shared" si="4"/>
        <v>285.57392708459287</v>
      </c>
      <c r="P49" s="43">
        <f t="shared" si="4"/>
        <v>330.97835935152119</v>
      </c>
      <c r="Q49" s="43">
        <f t="shared" si="4"/>
        <v>376.38279161844974</v>
      </c>
      <c r="R49" s="44">
        <f t="shared" si="4"/>
        <v>421.78722388537813</v>
      </c>
    </row>
    <row r="50" spans="3:18" x14ac:dyDescent="0.35">
      <c r="C50" s="41">
        <f t="shared" si="2"/>
        <v>1.9470942028985503</v>
      </c>
      <c r="D50" s="42">
        <f>IF($J$22&lt;=0,0,D41/$J$22)</f>
        <v>152.92136811776251</v>
      </c>
      <c r="E50" s="43">
        <f t="shared" si="3"/>
        <v>199.49001659666342</v>
      </c>
      <c r="F50" s="43">
        <f t="shared" si="3"/>
        <v>246.05866507556416</v>
      </c>
      <c r="G50" s="43">
        <f t="shared" si="3"/>
        <v>292.62731355446522</v>
      </c>
      <c r="H50" s="43">
        <f t="shared" si="3"/>
        <v>339.19596203336607</v>
      </c>
      <c r="I50" s="43">
        <f t="shared" si="3"/>
        <v>385.7646105122671</v>
      </c>
      <c r="J50" s="44">
        <f t="shared" si="3"/>
        <v>432.33325899116801</v>
      </c>
      <c r="L50" s="42">
        <f>IF($J$22&lt;=0,0,L41/$J$22)</f>
        <v>113.26936433680081</v>
      </c>
      <c r="M50" s="43">
        <f t="shared" si="4"/>
        <v>158.67379660372916</v>
      </c>
      <c r="N50" s="43">
        <f t="shared" si="4"/>
        <v>204.0782288706574</v>
      </c>
      <c r="O50" s="43">
        <f t="shared" si="4"/>
        <v>249.48266113758592</v>
      </c>
      <c r="P50" s="43">
        <f t="shared" si="4"/>
        <v>294.88709340451425</v>
      </c>
      <c r="Q50" s="43">
        <f t="shared" si="4"/>
        <v>340.29152567144274</v>
      </c>
      <c r="R50" s="44">
        <f t="shared" si="4"/>
        <v>385.69595793837107</v>
      </c>
    </row>
    <row r="51" spans="3:18" x14ac:dyDescent="0.35">
      <c r="C51" s="41">
        <f t="shared" si="2"/>
        <v>2.0470942028985504</v>
      </c>
      <c r="D51" s="45">
        <f>IF($J$22&lt;=0,0,D42/$J$22)</f>
        <v>117.71037694995091</v>
      </c>
      <c r="E51" s="46">
        <f t="shared" si="3"/>
        <v>164.27902542885181</v>
      </c>
      <c r="F51" s="46">
        <f t="shared" si="3"/>
        <v>210.84767390775255</v>
      </c>
      <c r="G51" s="47">
        <f t="shared" si="3"/>
        <v>257.41632238665358</v>
      </c>
      <c r="H51" s="46">
        <f t="shared" si="3"/>
        <v>303.98497086555449</v>
      </c>
      <c r="I51" s="46">
        <f t="shared" si="3"/>
        <v>350.55361934445546</v>
      </c>
      <c r="J51" s="48">
        <f t="shared" si="3"/>
        <v>397.12226782335637</v>
      </c>
      <c r="L51" s="45">
        <f>IF($J$22&lt;=0,0,L42/$J$22)</f>
        <v>77.178098389793902</v>
      </c>
      <c r="M51" s="46">
        <f t="shared" si="4"/>
        <v>122.58253065672224</v>
      </c>
      <c r="N51" s="46">
        <f t="shared" si="4"/>
        <v>167.98696292365051</v>
      </c>
      <c r="O51" s="47">
        <f t="shared" si="4"/>
        <v>213.391395190579</v>
      </c>
      <c r="P51" s="46">
        <f t="shared" si="4"/>
        <v>258.79582745750736</v>
      </c>
      <c r="Q51" s="46">
        <f t="shared" si="4"/>
        <v>304.20025972443585</v>
      </c>
      <c r="R51" s="48">
        <f t="shared" si="4"/>
        <v>349.60469199136418</v>
      </c>
    </row>
    <row r="52" spans="3:18" x14ac:dyDescent="0.35">
      <c r="C52" s="41">
        <f t="shared" si="2"/>
        <v>2.1470942028985505</v>
      </c>
      <c r="D52" s="42">
        <f>IF($J$22&lt;=0,0,D43/$J$22)</f>
        <v>82.499385782139299</v>
      </c>
      <c r="E52" s="43">
        <f t="shared" si="3"/>
        <v>129.0680342610402</v>
      </c>
      <c r="F52" s="43">
        <f t="shared" si="3"/>
        <v>175.63668273994094</v>
      </c>
      <c r="G52" s="43">
        <f t="shared" si="3"/>
        <v>222.20533121884196</v>
      </c>
      <c r="H52" s="43">
        <f t="shared" si="3"/>
        <v>268.77397969774285</v>
      </c>
      <c r="I52" s="43">
        <f t="shared" si="3"/>
        <v>315.34262817664393</v>
      </c>
      <c r="J52" s="44">
        <f t="shared" si="3"/>
        <v>361.91127665554478</v>
      </c>
      <c r="L52" s="42">
        <f>IF($J$22&lt;=0,0,L43/$J$22)</f>
        <v>41.086832442786992</v>
      </c>
      <c r="M52" s="43">
        <f t="shared" si="4"/>
        <v>86.491264709715352</v>
      </c>
      <c r="N52" s="43">
        <f t="shared" si="4"/>
        <v>131.89569697664359</v>
      </c>
      <c r="O52" s="43">
        <f t="shared" si="4"/>
        <v>177.30012924357212</v>
      </c>
      <c r="P52" s="43">
        <f t="shared" si="4"/>
        <v>222.70456151050047</v>
      </c>
      <c r="Q52" s="43">
        <f t="shared" si="4"/>
        <v>268.10899377742896</v>
      </c>
      <c r="R52" s="44">
        <f t="shared" si="4"/>
        <v>313.51342604435735</v>
      </c>
    </row>
    <row r="53" spans="3:18" x14ac:dyDescent="0.35">
      <c r="C53" s="41">
        <f t="shared" si="2"/>
        <v>2.2470942028985506</v>
      </c>
      <c r="D53" s="42">
        <f t="shared" ref="D53:J54" si="5">IF($J$22&lt;=0,0,D44/$J$22)</f>
        <v>47.288394614327679</v>
      </c>
      <c r="E53" s="43">
        <f t="shared" si="5"/>
        <v>93.857043093228569</v>
      </c>
      <c r="F53" s="43">
        <f t="shared" si="5"/>
        <v>140.42569157212932</v>
      </c>
      <c r="G53" s="43">
        <f t="shared" si="5"/>
        <v>186.99434005103035</v>
      </c>
      <c r="H53" s="43">
        <f t="shared" si="5"/>
        <v>233.56298852993126</v>
      </c>
      <c r="I53" s="43">
        <f t="shared" si="5"/>
        <v>280.13163700883229</v>
      </c>
      <c r="J53" s="44">
        <f t="shared" si="5"/>
        <v>326.70028548773314</v>
      </c>
      <c r="L53" s="42">
        <f t="shared" ref="L53:R54" si="6">IF($J$22&lt;=0,0,L44/$J$22)</f>
        <v>4.9955664957800812</v>
      </c>
      <c r="M53" s="43">
        <f t="shared" si="6"/>
        <v>50.399998762708456</v>
      </c>
      <c r="N53" s="43">
        <f t="shared" si="6"/>
        <v>95.80443102963666</v>
      </c>
      <c r="O53" s="43">
        <f t="shared" si="6"/>
        <v>141.20886329656517</v>
      </c>
      <c r="P53" s="43">
        <f t="shared" si="6"/>
        <v>186.61329556349358</v>
      </c>
      <c r="Q53" s="43">
        <f t="shared" si="6"/>
        <v>232.0177278304221</v>
      </c>
      <c r="R53" s="44">
        <f t="shared" si="6"/>
        <v>277.4221600973504</v>
      </c>
    </row>
    <row r="54" spans="3:18" x14ac:dyDescent="0.35">
      <c r="C54" s="49">
        <f t="shared" si="2"/>
        <v>2.3470942028985506</v>
      </c>
      <c r="D54" s="50">
        <f t="shared" si="5"/>
        <v>12.077403446516062</v>
      </c>
      <c r="E54" s="51">
        <f t="shared" si="5"/>
        <v>58.646051925416955</v>
      </c>
      <c r="F54" s="51">
        <f t="shared" si="5"/>
        <v>105.21470040431771</v>
      </c>
      <c r="G54" s="51">
        <f t="shared" si="5"/>
        <v>151.78334888321874</v>
      </c>
      <c r="H54" s="51">
        <f t="shared" si="5"/>
        <v>198.35199736211965</v>
      </c>
      <c r="I54" s="51">
        <f t="shared" si="5"/>
        <v>244.92064584102067</v>
      </c>
      <c r="J54" s="52">
        <f t="shared" si="5"/>
        <v>291.48929431992156</v>
      </c>
      <c r="L54" s="50">
        <f t="shared" si="6"/>
        <v>-31.095699451226828</v>
      </c>
      <c r="M54" s="51">
        <f t="shared" si="6"/>
        <v>14.308732815701546</v>
      </c>
      <c r="N54" s="51">
        <f t="shared" si="6"/>
        <v>59.713165082629779</v>
      </c>
      <c r="O54" s="51">
        <f t="shared" si="6"/>
        <v>105.11759734955828</v>
      </c>
      <c r="P54" s="51">
        <f t="shared" si="6"/>
        <v>150.52202961648663</v>
      </c>
      <c r="Q54" s="51">
        <f t="shared" si="6"/>
        <v>195.92646188341516</v>
      </c>
      <c r="R54" s="52">
        <f t="shared" si="6"/>
        <v>241.33089415034357</v>
      </c>
    </row>
    <row r="56" spans="3:18" x14ac:dyDescent="0.35">
      <c r="C56" s="28"/>
      <c r="D56" s="53" t="s">
        <v>28</v>
      </c>
      <c r="E56" s="28"/>
      <c r="F56" s="28"/>
      <c r="G56" s="28"/>
      <c r="H56" s="28"/>
      <c r="I56" s="28"/>
      <c r="J56" s="28"/>
      <c r="L56" s="5" t="s">
        <v>125</v>
      </c>
    </row>
    <row r="57" spans="3:18" x14ac:dyDescent="0.35">
      <c r="C57" s="37">
        <f t="shared" ref="C57:C63" si="7">C48</f>
        <v>1.7470942028985501</v>
      </c>
      <c r="D57" s="54">
        <f t="shared" ref="D57:J57" si="8">IF($E$9&lt;=0,0,D39/(($E$9/365)*(($F$13*$C$57+(1-$E$22)*($F$14*D36)+$E$23)/2)))</f>
        <v>0.294714672524161</v>
      </c>
      <c r="E57" s="55">
        <f t="shared" si="8"/>
        <v>0.34554777312637935</v>
      </c>
      <c r="F57" s="55">
        <f t="shared" si="8"/>
        <v>0.39343801512006593</v>
      </c>
      <c r="G57" s="55">
        <f t="shared" si="8"/>
        <v>0.43863376370815749</v>
      </c>
      <c r="H57" s="55">
        <f t="shared" si="8"/>
        <v>0.48135620080625319</v>
      </c>
      <c r="I57" s="55">
        <f t="shared" si="8"/>
        <v>0.52180294496806823</v>
      </c>
      <c r="J57" s="56">
        <f t="shared" si="8"/>
        <v>0.56015110785086331</v>
      </c>
      <c r="L57" s="57" t="str">
        <f>""</f>
        <v/>
      </c>
      <c r="M57" s="58"/>
      <c r="N57" s="58"/>
      <c r="O57" s="58"/>
      <c r="P57" s="58"/>
      <c r="Q57" s="58"/>
      <c r="R57" s="59"/>
    </row>
    <row r="58" spans="3:18" x14ac:dyDescent="0.35">
      <c r="C58" s="41">
        <f t="shared" si="7"/>
        <v>1.8470942028985502</v>
      </c>
      <c r="D58" s="60">
        <f t="shared" ref="D58:J58" si="9">IF($E$9&lt;=0,0,D40/(($E$9/365)*(($F$13*$C$58+(1-$E$22)*($F$14*D36)+$E$23)/2)))</f>
        <v>0.24261538513926337</v>
      </c>
      <c r="E58" s="61">
        <f t="shared" si="9"/>
        <v>0.293846817082136</v>
      </c>
      <c r="F58" s="61">
        <f t="shared" si="9"/>
        <v>0.3421758534352361</v>
      </c>
      <c r="G58" s="61">
        <f t="shared" si="9"/>
        <v>0.38784234270844659</v>
      </c>
      <c r="H58" s="61">
        <f t="shared" si="9"/>
        <v>0.43106041436354142</v>
      </c>
      <c r="I58" s="61">
        <f t="shared" si="9"/>
        <v>0.47202183614160403</v>
      </c>
      <c r="J58" s="62">
        <f t="shared" si="9"/>
        <v>0.51089885885866482</v>
      </c>
      <c r="L58" s="63" t="str">
        <f>""</f>
        <v/>
      </c>
      <c r="M58" s="64"/>
      <c r="N58" s="64"/>
      <c r="O58" s="64"/>
      <c r="P58" s="64"/>
      <c r="Q58" s="64"/>
      <c r="R58" s="65"/>
    </row>
    <row r="59" spans="3:18" x14ac:dyDescent="0.35">
      <c r="C59" s="41">
        <f t="shared" si="7"/>
        <v>1.9470942028985503</v>
      </c>
      <c r="D59" s="60">
        <f t="shared" ref="D59:J59" si="10">IF($E$9&lt;=0,0,D41/(($E$9/365)*(($F$13*$C$59+(1-$E$22)*($F$14*D36)+$E$23)/2)))</f>
        <v>0.19282930689014166</v>
      </c>
      <c r="E59" s="61">
        <f t="shared" si="10"/>
        <v>0.24437590819433722</v>
      </c>
      <c r="F59" s="61">
        <f t="shared" si="10"/>
        <v>0.29306349256895559</v>
      </c>
      <c r="G59" s="61">
        <f t="shared" si="10"/>
        <v>0.33912350333361579</v>
      </c>
      <c r="H59" s="61">
        <f t="shared" si="10"/>
        <v>0.38276305910065356</v>
      </c>
      <c r="I59" s="61">
        <f t="shared" si="10"/>
        <v>0.42416806761913306</v>
      </c>
      <c r="J59" s="62">
        <f t="shared" si="10"/>
        <v>0.4635058732298154</v>
      </c>
      <c r="L59" s="63" t="str">
        <f>""</f>
        <v/>
      </c>
      <c r="M59" s="64"/>
      <c r="N59" s="64"/>
      <c r="O59" s="64"/>
      <c r="P59" s="64"/>
      <c r="Q59" s="64"/>
      <c r="R59" s="65"/>
    </row>
    <row r="60" spans="3:18" x14ac:dyDescent="0.35">
      <c r="C60" s="41">
        <f t="shared" si="7"/>
        <v>2.0470942028985504</v>
      </c>
      <c r="D60" s="66">
        <f t="shared" ref="D60:J60" si="11">IF($E$9&lt;=0,0,D42/(($E$9/365)*(($F$13*$C$60+(1-$E$22)*($F$14*D36)+$E$23)/2)))</f>
        <v>0.14520572384704211</v>
      </c>
      <c r="E60" s="67">
        <f t="shared" si="11"/>
        <v>0.19699380766492866</v>
      </c>
      <c r="F60" s="67">
        <f t="shared" si="11"/>
        <v>0.24596847446833117</v>
      </c>
      <c r="G60" s="68">
        <f t="shared" si="11"/>
        <v>0.29235292228899556</v>
      </c>
      <c r="H60" s="67">
        <f t="shared" si="11"/>
        <v>0.3363473479909137</v>
      </c>
      <c r="I60" s="67">
        <f t="shared" si="11"/>
        <v>0.37813183576995169</v>
      </c>
      <c r="J60" s="69">
        <f t="shared" si="11"/>
        <v>0.41786882103104456</v>
      </c>
      <c r="L60" s="63" t="str">
        <f>""</f>
        <v/>
      </c>
      <c r="M60" s="64"/>
      <c r="N60" s="64"/>
      <c r="O60" s="64"/>
      <c r="P60" s="64"/>
      <c r="Q60" s="64"/>
      <c r="R60" s="65"/>
    </row>
    <row r="61" spans="3:18" x14ac:dyDescent="0.35">
      <c r="C61" s="41">
        <f t="shared" si="7"/>
        <v>2.1470942028985505</v>
      </c>
      <c r="D61" s="60">
        <f t="shared" ref="D61:J61" si="12">IF($E$9&lt;=0,0,D43/(($E$9/365)*(($F$13*$C$61+(1-$E$22)*($F$14*D36)+$E$23)/2)))</f>
        <v>9.9606736520329711E-2</v>
      </c>
      <c r="E61" s="61">
        <f t="shared" si="12"/>
        <v>0.1515709571453667</v>
      </c>
      <c r="F61" s="61">
        <f t="shared" si="12"/>
        <v>0.20076900380159704</v>
      </c>
      <c r="G61" s="61">
        <f t="shared" si="12"/>
        <v>0.24741602469711033</v>
      </c>
      <c r="H61" s="61">
        <f t="shared" si="12"/>
        <v>0.29170542007427841</v>
      </c>
      <c r="I61" s="61">
        <f t="shared" si="12"/>
        <v>0.33381152243271511</v>
      </c>
      <c r="J61" s="62">
        <f t="shared" si="12"/>
        <v>0.37389188991368849</v>
      </c>
      <c r="L61" s="63" t="str">
        <f>""</f>
        <v/>
      </c>
      <c r="M61" s="64"/>
      <c r="N61" s="64"/>
      <c r="O61" s="64"/>
      <c r="P61" s="64"/>
      <c r="Q61" s="64"/>
      <c r="R61" s="65"/>
    </row>
    <row r="62" spans="3:18" x14ac:dyDescent="0.35">
      <c r="C62" s="41">
        <f t="shared" si="7"/>
        <v>2.2470942028985506</v>
      </c>
      <c r="D62" s="60">
        <f>IF(E9&lt;=0,0,D44/(($E$9/365)*(($F$13*$C$62+(1-$E$22)*($F$14*D36)+$E$23)/2)))</f>
        <v>5.5905926274045108E-2</v>
      </c>
      <c r="E62" s="61">
        <f>IF(E9&lt;=0,0,E44/(($E$9/365)*(($F$13*$C$62+(1-$E$22)*($F$14*E36)+$E$23)/2)))</f>
        <v>0.10798829572874595</v>
      </c>
      <c r="F62" s="61">
        <f>IF(E9&lt;=0,0,F44/(($E$9/365)*(($F$13*$C$62+(1-$E$22)*($F$14*F36)+$E$23)/2)))</f>
        <v>0.15735289620337206</v>
      </c>
      <c r="G62" s="61">
        <f>IF(E9&lt;=0,0,G44/(($E$9/365)*(($F$13*$C$62+(1-$E$22)*($F$14*G36)+$E$23)/2)))</f>
        <v>0.20420704697892436</v>
      </c>
      <c r="H62" s="61">
        <f>IF(E9&lt;=0,0,H44/(($E$9/365)*(($F$13*$C$62+(1-$E$22)*($F$14*H36)+$E$23)/2)))</f>
        <v>0.2487375036689754</v>
      </c>
      <c r="I62" s="61">
        <f>IF(E9&lt;=0,0,I44/(($E$9/365)*(($F$13*$C$62+(1-$E$22)*($F$14*I36)+$E$23)/2)))</f>
        <v>0.29111294612341915</v>
      </c>
      <c r="J62" s="62">
        <f>IF(E9&lt;=0,0,J44/(($E$9/365)*(($F$13*$C$62+(1-$E$22)*($F$14*J36)+$E$23)/2)))</f>
        <v>0.33148611366565189</v>
      </c>
      <c r="L62" s="63" t="str">
        <f>""</f>
        <v/>
      </c>
      <c r="M62" s="64"/>
      <c r="N62" s="64"/>
      <c r="O62" s="64"/>
      <c r="P62" s="64"/>
      <c r="Q62" s="64"/>
      <c r="R62" s="65"/>
    </row>
    <row r="63" spans="3:18" x14ac:dyDescent="0.35">
      <c r="C63" s="49">
        <f t="shared" si="7"/>
        <v>2.3470942028985506</v>
      </c>
      <c r="D63" s="70">
        <f t="shared" ref="D63:J63" si="13">IF($E$9&lt;=0,0,D45/(($E$9/365)*(($F$13*$C$63+(1-$E$22)*($F$14*D36)+$E$23)/2)))</f>
        <v>1.3987184885832556E-2</v>
      </c>
      <c r="E63" s="71">
        <f t="shared" si="13"/>
        <v>6.6136217866819724E-2</v>
      </c>
      <c r="F63" s="71">
        <f t="shared" si="13"/>
        <v>0.11561664860368788</v>
      </c>
      <c r="G63" s="71">
        <f t="shared" si="13"/>
        <v>0.16262820579856724</v>
      </c>
      <c r="H63" s="71">
        <f t="shared" si="13"/>
        <v>0.20735117198592484</v>
      </c>
      <c r="I63" s="71">
        <f t="shared" si="13"/>
        <v>0.24994869396431793</v>
      </c>
      <c r="J63" s="72">
        <f t="shared" si="13"/>
        <v>0.29056877146643434</v>
      </c>
      <c r="L63" s="73" t="str">
        <f>""</f>
        <v/>
      </c>
      <c r="M63" s="74"/>
      <c r="N63" s="74"/>
      <c r="O63" s="74"/>
      <c r="P63" s="74"/>
      <c r="Q63" s="74"/>
      <c r="R63" s="75"/>
    </row>
    <row r="65" spans="2:18" x14ac:dyDescent="0.35">
      <c r="D65" s="28"/>
      <c r="E65" s="28"/>
      <c r="F65" s="28"/>
      <c r="G65" s="28"/>
      <c r="H65" s="28"/>
      <c r="I65" s="28"/>
      <c r="J65" s="28"/>
    </row>
    <row r="66" spans="2:18" x14ac:dyDescent="0.35">
      <c r="B66" s="5" t="s">
        <v>29</v>
      </c>
    </row>
    <row r="67" spans="2:18" x14ac:dyDescent="0.35">
      <c r="B67" s="76"/>
    </row>
    <row r="68" spans="2:18" x14ac:dyDescent="0.35">
      <c r="D68" s="77" t="s">
        <v>233</v>
      </c>
      <c r="E68" s="78" t="str">
        <f>""</f>
        <v/>
      </c>
      <c r="F68" s="78" t="str">
        <f>""</f>
        <v/>
      </c>
      <c r="G68" s="78" t="str">
        <f>""</f>
        <v/>
      </c>
      <c r="H68" s="78" t="str">
        <f>""</f>
        <v/>
      </c>
      <c r="I68" s="78" t="str">
        <f>""</f>
        <v/>
      </c>
      <c r="J68" s="78" t="str">
        <f>""</f>
        <v/>
      </c>
      <c r="K68" s="78" t="str">
        <f>""</f>
        <v/>
      </c>
      <c r="L68" s="78" t="str">
        <f>""</f>
        <v/>
      </c>
      <c r="M68" s="78" t="str">
        <f>""</f>
        <v/>
      </c>
      <c r="N68" s="78" t="str">
        <f>""</f>
        <v/>
      </c>
      <c r="O68" s="78" t="str">
        <f>""</f>
        <v/>
      </c>
      <c r="P68" s="78" t="str">
        <f>""</f>
        <v/>
      </c>
      <c r="Q68" s="78" t="str">
        <f>""</f>
        <v/>
      </c>
      <c r="R68" s="79" t="str">
        <f>""</f>
        <v/>
      </c>
    </row>
    <row r="69" spans="2:18" x14ac:dyDescent="0.35">
      <c r="D69" s="80" t="str">
        <f>""</f>
        <v/>
      </c>
      <c r="E69" s="81" t="str">
        <f>""</f>
        <v/>
      </c>
      <c r="F69" s="82" t="str">
        <f>""</f>
        <v/>
      </c>
      <c r="G69" s="82" t="str">
        <f>""</f>
        <v/>
      </c>
      <c r="H69" s="82" t="str">
        <f>""</f>
        <v/>
      </c>
      <c r="I69" s="82" t="str">
        <f>""</f>
        <v/>
      </c>
      <c r="J69" s="82" t="str">
        <f>""</f>
        <v/>
      </c>
      <c r="K69" s="82" t="str">
        <f>""</f>
        <v/>
      </c>
      <c r="L69" s="82" t="str">
        <f>""</f>
        <v/>
      </c>
      <c r="M69" s="82" t="str">
        <f>""</f>
        <v/>
      </c>
      <c r="N69" s="82" t="str">
        <f>""</f>
        <v/>
      </c>
      <c r="O69" s="82" t="str">
        <f>""</f>
        <v/>
      </c>
      <c r="P69" s="82" t="str">
        <f>""</f>
        <v/>
      </c>
      <c r="Q69" s="82" t="str">
        <f>""</f>
        <v/>
      </c>
      <c r="R69" s="83" t="str">
        <f>""</f>
        <v/>
      </c>
    </row>
    <row r="70" spans="2:18" x14ac:dyDescent="0.35">
      <c r="B70" s="6" t="s">
        <v>30</v>
      </c>
      <c r="D70" s="84">
        <v>300</v>
      </c>
      <c r="E70" s="85"/>
      <c r="F70" s="85"/>
      <c r="G70" s="85"/>
      <c r="H70" s="85"/>
      <c r="I70" s="85"/>
      <c r="J70" s="85"/>
      <c r="K70" s="85"/>
      <c r="L70" s="85"/>
      <c r="M70" s="85"/>
      <c r="N70" s="85"/>
      <c r="O70" s="85"/>
      <c r="P70" s="85"/>
      <c r="Q70" s="85"/>
      <c r="R70" s="86"/>
    </row>
    <row r="71" spans="2:18" x14ac:dyDescent="0.35">
      <c r="B71" s="6" t="s">
        <v>31</v>
      </c>
      <c r="D71" s="84">
        <v>276</v>
      </c>
      <c r="E71" s="85"/>
      <c r="F71" s="85"/>
      <c r="G71" s="85"/>
      <c r="H71" s="85"/>
      <c r="I71" s="85"/>
      <c r="J71" s="85"/>
      <c r="K71" s="85"/>
      <c r="L71" s="85"/>
      <c r="M71" s="85"/>
      <c r="N71" s="85"/>
      <c r="O71" s="85"/>
      <c r="P71" s="85"/>
      <c r="Q71" s="85"/>
      <c r="R71" s="86"/>
    </row>
    <row r="72" spans="2:18" x14ac:dyDescent="0.35">
      <c r="B72" s="6" t="s">
        <v>32</v>
      </c>
      <c r="D72" s="87">
        <v>2.0499999999999998</v>
      </c>
      <c r="E72" s="88"/>
      <c r="F72" s="88"/>
      <c r="G72" s="88"/>
      <c r="H72" s="88"/>
      <c r="I72" s="88"/>
      <c r="J72" s="88"/>
      <c r="K72" s="88"/>
      <c r="L72" s="88"/>
      <c r="M72" s="88"/>
      <c r="N72" s="88"/>
      <c r="O72" s="88"/>
      <c r="P72" s="88"/>
      <c r="Q72" s="88"/>
      <c r="R72" s="89"/>
    </row>
    <row r="73" spans="2:18" x14ac:dyDescent="0.35">
      <c r="B73" s="6" t="s">
        <v>105</v>
      </c>
      <c r="D73" s="90">
        <v>565</v>
      </c>
      <c r="E73" s="91"/>
      <c r="F73" s="91"/>
      <c r="G73" s="91"/>
      <c r="H73" s="91"/>
      <c r="I73" s="91"/>
      <c r="J73" s="91"/>
      <c r="K73" s="91"/>
      <c r="L73" s="91"/>
      <c r="M73" s="91"/>
      <c r="N73" s="91"/>
      <c r="O73" s="91"/>
      <c r="P73" s="91"/>
      <c r="Q73" s="91"/>
      <c r="R73" s="92"/>
    </row>
    <row r="74" spans="2:18" x14ac:dyDescent="0.35">
      <c r="D74" s="93"/>
      <c r="E74" s="94"/>
      <c r="F74" s="95"/>
      <c r="G74" s="95"/>
      <c r="H74" s="95"/>
      <c r="I74" s="95"/>
      <c r="J74" s="95"/>
      <c r="K74" s="95"/>
      <c r="L74" s="95"/>
      <c r="M74" s="95"/>
      <c r="N74" s="95"/>
      <c r="O74" s="95"/>
      <c r="P74" s="95"/>
      <c r="Q74" s="95"/>
      <c r="R74" s="96"/>
    </row>
    <row r="75" spans="2:18" x14ac:dyDescent="0.35">
      <c r="B75" s="6" t="s">
        <v>33</v>
      </c>
      <c r="D75" s="84">
        <v>413.3</v>
      </c>
      <c r="E75" s="85"/>
      <c r="F75" s="85"/>
      <c r="G75" s="85"/>
      <c r="H75" s="85"/>
      <c r="I75" s="85"/>
      <c r="J75" s="85"/>
      <c r="K75" s="85"/>
      <c r="L75" s="85"/>
      <c r="M75" s="85"/>
      <c r="N75" s="85"/>
      <c r="O75" s="85"/>
      <c r="P75" s="85"/>
      <c r="Q75" s="85"/>
      <c r="R75" s="86"/>
    </row>
    <row r="76" spans="2:18" x14ac:dyDescent="0.35">
      <c r="B76" s="6" t="s">
        <v>34</v>
      </c>
      <c r="D76" s="84">
        <v>380.23599999999999</v>
      </c>
      <c r="E76" s="85"/>
      <c r="F76" s="85"/>
      <c r="G76" s="85"/>
      <c r="H76" s="85"/>
      <c r="I76" s="85"/>
      <c r="J76" s="85"/>
      <c r="K76" s="85"/>
      <c r="L76" s="85"/>
      <c r="M76" s="85"/>
      <c r="N76" s="85"/>
      <c r="O76" s="85"/>
      <c r="P76" s="85"/>
      <c r="Q76" s="85"/>
      <c r="R76" s="86"/>
    </row>
    <row r="77" spans="2:18" x14ac:dyDescent="0.35">
      <c r="B77" s="6" t="s">
        <v>35</v>
      </c>
      <c r="D77" s="84">
        <v>380.23599999999999</v>
      </c>
      <c r="E77" s="85"/>
      <c r="F77" s="85"/>
      <c r="G77" s="85"/>
      <c r="H77" s="85"/>
      <c r="I77" s="85"/>
      <c r="J77" s="85"/>
      <c r="K77" s="85"/>
      <c r="L77" s="85"/>
      <c r="M77" s="85"/>
      <c r="N77" s="85"/>
      <c r="O77" s="85"/>
      <c r="P77" s="85"/>
      <c r="Q77" s="85"/>
      <c r="R77" s="86"/>
    </row>
    <row r="78" spans="2:18" x14ac:dyDescent="0.35">
      <c r="B78" s="6" t="s">
        <v>36</v>
      </c>
      <c r="D78" s="97">
        <v>1</v>
      </c>
      <c r="E78" s="98"/>
      <c r="F78" s="98"/>
      <c r="G78" s="98"/>
      <c r="H78" s="98"/>
      <c r="I78" s="98"/>
      <c r="J78" s="98"/>
      <c r="K78" s="98"/>
      <c r="L78" s="98"/>
      <c r="M78" s="98"/>
      <c r="N78" s="98"/>
      <c r="O78" s="98"/>
      <c r="P78" s="98"/>
      <c r="Q78" s="98"/>
      <c r="R78" s="99"/>
    </row>
    <row r="79" spans="2:18" x14ac:dyDescent="0.35">
      <c r="B79" s="6" t="s">
        <v>37</v>
      </c>
      <c r="D79" s="87">
        <v>2.17</v>
      </c>
      <c r="E79" s="88"/>
      <c r="F79" s="88"/>
      <c r="G79" s="88"/>
      <c r="H79" s="88"/>
      <c r="I79" s="88"/>
      <c r="J79" s="88"/>
      <c r="K79" s="88"/>
      <c r="L79" s="88"/>
      <c r="M79" s="88"/>
      <c r="N79" s="88"/>
      <c r="O79" s="88"/>
      <c r="P79" s="88"/>
      <c r="Q79" s="88"/>
      <c r="R79" s="89"/>
    </row>
    <row r="80" spans="2:18" x14ac:dyDescent="0.35">
      <c r="B80" s="6" t="s">
        <v>38</v>
      </c>
      <c r="D80" s="87">
        <v>2.17</v>
      </c>
      <c r="E80" s="88"/>
      <c r="F80" s="88"/>
      <c r="G80" s="88"/>
      <c r="H80" s="88"/>
      <c r="I80" s="88"/>
      <c r="J80" s="88"/>
      <c r="K80" s="88"/>
      <c r="L80" s="88"/>
      <c r="M80" s="88"/>
      <c r="N80" s="88"/>
      <c r="O80" s="88"/>
      <c r="P80" s="88"/>
      <c r="Q80" s="88"/>
      <c r="R80" s="89"/>
    </row>
    <row r="81" spans="2:18" x14ac:dyDescent="0.35">
      <c r="B81" s="6" t="s">
        <v>106</v>
      </c>
      <c r="D81" s="90">
        <v>824.02</v>
      </c>
      <c r="E81" s="91"/>
      <c r="F81" s="91"/>
      <c r="G81" s="91"/>
      <c r="H81" s="91"/>
      <c r="I81" s="91"/>
      <c r="J81" s="91"/>
      <c r="K81" s="91"/>
      <c r="L81" s="91"/>
      <c r="M81" s="91"/>
      <c r="N81" s="91"/>
      <c r="O81" s="91"/>
      <c r="P81" s="91"/>
      <c r="Q81" s="91"/>
      <c r="R81" s="92"/>
    </row>
    <row r="82" spans="2:18" x14ac:dyDescent="0.35">
      <c r="D82" s="93"/>
      <c r="E82" s="94"/>
      <c r="F82" s="95"/>
      <c r="G82" s="95"/>
      <c r="H82" s="95"/>
      <c r="I82" s="95"/>
      <c r="J82" s="95"/>
      <c r="K82" s="95"/>
      <c r="L82" s="95"/>
      <c r="M82" s="95"/>
      <c r="N82" s="95"/>
      <c r="O82" s="95"/>
      <c r="P82" s="95"/>
      <c r="Q82" s="95"/>
      <c r="R82" s="96"/>
    </row>
    <row r="83" spans="2:18" x14ac:dyDescent="0.35">
      <c r="B83" s="6" t="s">
        <v>107</v>
      </c>
      <c r="D83" s="84">
        <v>356.65</v>
      </c>
      <c r="E83" s="85"/>
      <c r="F83" s="85"/>
      <c r="G83" s="85"/>
      <c r="H83" s="85"/>
      <c r="I83" s="85"/>
      <c r="J83" s="85"/>
      <c r="K83" s="85"/>
      <c r="L83" s="85"/>
      <c r="M83" s="85"/>
      <c r="N83" s="85"/>
      <c r="O83" s="85"/>
      <c r="P83" s="85"/>
      <c r="Q83" s="85"/>
      <c r="R83" s="86"/>
    </row>
    <row r="84" spans="2:18" x14ac:dyDescent="0.35">
      <c r="B84" s="6" t="s">
        <v>39</v>
      </c>
      <c r="D84" s="84">
        <v>455</v>
      </c>
      <c r="E84" s="85"/>
      <c r="F84" s="85"/>
      <c r="G84" s="85"/>
      <c r="H84" s="85"/>
      <c r="I84" s="85"/>
      <c r="J84" s="85"/>
      <c r="K84" s="85"/>
      <c r="L84" s="85"/>
      <c r="M84" s="85"/>
      <c r="N84" s="85"/>
      <c r="O84" s="85"/>
      <c r="P84" s="85"/>
      <c r="Q84" s="85"/>
      <c r="R84" s="86"/>
    </row>
    <row r="85" spans="2:18" x14ac:dyDescent="0.35">
      <c r="B85" s="6" t="s">
        <v>40</v>
      </c>
      <c r="D85" s="100">
        <v>0.78384615384615375</v>
      </c>
      <c r="E85" s="101"/>
      <c r="F85" s="101"/>
      <c r="G85" s="101"/>
      <c r="H85" s="101"/>
      <c r="I85" s="101"/>
      <c r="J85" s="101"/>
      <c r="K85" s="101"/>
      <c r="L85" s="101"/>
      <c r="M85" s="101"/>
      <c r="N85" s="101"/>
      <c r="O85" s="101"/>
      <c r="P85" s="101"/>
      <c r="Q85" s="101"/>
      <c r="R85" s="102"/>
    </row>
    <row r="86" spans="2:18" x14ac:dyDescent="0.35">
      <c r="D86" s="93"/>
      <c r="E86" s="94"/>
      <c r="F86" s="95"/>
      <c r="G86" s="95"/>
      <c r="H86" s="95"/>
      <c r="I86" s="95"/>
      <c r="J86" s="95"/>
      <c r="K86" s="95"/>
      <c r="L86" s="95"/>
      <c r="M86" s="95"/>
      <c r="N86" s="95"/>
      <c r="O86" s="95"/>
      <c r="P86" s="95"/>
      <c r="Q86" s="95"/>
      <c r="R86" s="96"/>
    </row>
    <row r="87" spans="2:18" x14ac:dyDescent="0.35">
      <c r="B87" s="6" t="s">
        <v>41</v>
      </c>
      <c r="D87" s="103">
        <v>43586</v>
      </c>
      <c r="E87" s="104"/>
      <c r="F87" s="104"/>
      <c r="G87" s="104"/>
      <c r="H87" s="104"/>
      <c r="I87" s="104"/>
      <c r="J87" s="104"/>
      <c r="K87" s="104"/>
      <c r="L87" s="104"/>
      <c r="M87" s="104"/>
      <c r="N87" s="104"/>
      <c r="O87" s="104"/>
      <c r="P87" s="104"/>
      <c r="Q87" s="104"/>
      <c r="R87" s="105"/>
    </row>
    <row r="88" spans="2:18" x14ac:dyDescent="0.35">
      <c r="B88" s="6" t="s">
        <v>42</v>
      </c>
      <c r="D88" s="103">
        <v>43951</v>
      </c>
      <c r="E88" s="104"/>
      <c r="F88" s="104"/>
      <c r="G88" s="104"/>
      <c r="H88" s="104"/>
      <c r="I88" s="104"/>
      <c r="J88" s="104"/>
      <c r="K88" s="104"/>
      <c r="L88" s="104"/>
      <c r="M88" s="104"/>
      <c r="N88" s="104"/>
      <c r="O88" s="104"/>
      <c r="P88" s="104"/>
      <c r="Q88" s="104"/>
      <c r="R88" s="105"/>
    </row>
    <row r="89" spans="2:18" x14ac:dyDescent="0.35">
      <c r="B89" s="6" t="s">
        <v>43</v>
      </c>
      <c r="D89" s="84"/>
      <c r="E89" s="85"/>
      <c r="F89" s="85"/>
      <c r="G89" s="85"/>
      <c r="H89" s="85"/>
      <c r="I89" s="85"/>
      <c r="J89" s="85"/>
      <c r="K89" s="85"/>
      <c r="L89" s="85"/>
      <c r="M89" s="85"/>
      <c r="N89" s="85"/>
      <c r="O89" s="85"/>
      <c r="P89" s="85"/>
      <c r="Q89" s="85"/>
      <c r="R89" s="86"/>
    </row>
    <row r="90" spans="2:18" x14ac:dyDescent="0.35">
      <c r="B90" s="6" t="s">
        <v>44</v>
      </c>
      <c r="D90" s="100">
        <v>0.31041095890410964</v>
      </c>
      <c r="E90" s="101"/>
      <c r="F90" s="101"/>
      <c r="G90" s="101"/>
      <c r="H90" s="101"/>
      <c r="I90" s="101"/>
      <c r="J90" s="101"/>
      <c r="K90" s="101"/>
      <c r="L90" s="101"/>
      <c r="M90" s="101"/>
      <c r="N90" s="101"/>
      <c r="O90" s="101"/>
      <c r="P90" s="101"/>
      <c r="Q90" s="101"/>
      <c r="R90" s="102"/>
    </row>
    <row r="91" spans="2:18" x14ac:dyDescent="0.35">
      <c r="D91" s="93"/>
      <c r="E91" s="94"/>
      <c r="F91" s="95"/>
      <c r="G91" s="95"/>
      <c r="H91" s="95"/>
      <c r="I91" s="95"/>
      <c r="J91" s="95"/>
      <c r="K91" s="95"/>
      <c r="L91" s="95"/>
      <c r="M91" s="95"/>
      <c r="N91" s="95"/>
      <c r="O91" s="95"/>
      <c r="P91" s="95"/>
      <c r="Q91" s="95"/>
      <c r="R91" s="96"/>
    </row>
    <row r="92" spans="2:18" x14ac:dyDescent="0.35">
      <c r="B92" s="6" t="s">
        <v>45</v>
      </c>
      <c r="D92" s="106">
        <v>0.04</v>
      </c>
      <c r="E92" s="107"/>
      <c r="F92" s="107"/>
      <c r="G92" s="107"/>
      <c r="H92" s="107"/>
      <c r="I92" s="107"/>
      <c r="J92" s="107"/>
      <c r="K92" s="107"/>
      <c r="L92" s="107"/>
      <c r="M92" s="107"/>
      <c r="N92" s="107"/>
      <c r="O92" s="107"/>
      <c r="P92" s="107"/>
      <c r="Q92" s="107"/>
      <c r="R92" s="108"/>
    </row>
    <row r="93" spans="2:18" x14ac:dyDescent="0.35">
      <c r="B93" s="6" t="s">
        <v>108</v>
      </c>
      <c r="D93" s="87">
        <v>24.29</v>
      </c>
      <c r="E93" s="88"/>
      <c r="F93" s="88"/>
      <c r="G93" s="88"/>
      <c r="H93" s="88"/>
      <c r="I93" s="88"/>
      <c r="J93" s="88"/>
      <c r="K93" s="88"/>
      <c r="L93" s="88"/>
      <c r="M93" s="88"/>
      <c r="N93" s="88"/>
      <c r="O93" s="88"/>
      <c r="P93" s="88"/>
      <c r="Q93" s="88"/>
      <c r="R93" s="89"/>
    </row>
    <row r="94" spans="2:18" x14ac:dyDescent="0.35">
      <c r="B94" s="6" t="s">
        <v>46</v>
      </c>
      <c r="D94" s="106">
        <v>0.05</v>
      </c>
      <c r="E94" s="107"/>
      <c r="F94" s="107"/>
      <c r="G94" s="107"/>
      <c r="H94" s="107"/>
      <c r="I94" s="107"/>
      <c r="J94" s="107"/>
      <c r="K94" s="107"/>
      <c r="L94" s="107"/>
      <c r="M94" s="107"/>
      <c r="N94" s="107"/>
      <c r="O94" s="107"/>
      <c r="P94" s="107"/>
      <c r="Q94" s="107"/>
      <c r="R94" s="108"/>
    </row>
    <row r="95" spans="2:18" x14ac:dyDescent="0.35">
      <c r="D95" s="93"/>
      <c r="E95" s="94"/>
      <c r="F95" s="95"/>
      <c r="G95" s="95"/>
      <c r="H95" s="95"/>
      <c r="I95" s="95"/>
      <c r="J95" s="95"/>
      <c r="K95" s="95"/>
      <c r="L95" s="95"/>
      <c r="M95" s="95"/>
      <c r="N95" s="95"/>
      <c r="O95" s="95"/>
      <c r="P95" s="95"/>
      <c r="Q95" s="95"/>
      <c r="R95" s="96"/>
    </row>
    <row r="96" spans="2:18" x14ac:dyDescent="0.35">
      <c r="B96" s="6" t="s">
        <v>47</v>
      </c>
      <c r="D96" s="87">
        <v>0.1</v>
      </c>
      <c r="E96" s="88"/>
      <c r="F96" s="88"/>
      <c r="G96" s="88"/>
      <c r="H96" s="88"/>
      <c r="I96" s="88"/>
      <c r="J96" s="88"/>
      <c r="K96" s="88"/>
      <c r="L96" s="88"/>
      <c r="M96" s="88"/>
      <c r="N96" s="88"/>
      <c r="O96" s="88"/>
      <c r="P96" s="88"/>
      <c r="Q96" s="88"/>
      <c r="R96" s="89"/>
    </row>
    <row r="97" spans="2:18" x14ac:dyDescent="0.35">
      <c r="B97" s="6" t="s">
        <v>48</v>
      </c>
      <c r="D97" s="87">
        <v>0.1</v>
      </c>
      <c r="E97" s="88"/>
      <c r="F97" s="88"/>
      <c r="G97" s="88"/>
      <c r="H97" s="88"/>
      <c r="I97" s="88"/>
      <c r="J97" s="88"/>
      <c r="K97" s="88"/>
      <c r="L97" s="88"/>
      <c r="M97" s="88"/>
      <c r="N97" s="88"/>
      <c r="O97" s="88"/>
      <c r="P97" s="88"/>
      <c r="Q97" s="88"/>
      <c r="R97" s="89"/>
    </row>
    <row r="98" spans="2:18" x14ac:dyDescent="0.35">
      <c r="D98" s="93"/>
      <c r="E98" s="94"/>
      <c r="F98" s="95"/>
      <c r="G98" s="95"/>
      <c r="H98" s="95"/>
      <c r="I98" s="95"/>
      <c r="J98" s="95"/>
      <c r="K98" s="95"/>
      <c r="L98" s="95"/>
      <c r="M98" s="95"/>
      <c r="N98" s="95"/>
      <c r="O98" s="95"/>
      <c r="P98" s="95"/>
      <c r="Q98" s="95"/>
      <c r="R98" s="96"/>
    </row>
    <row r="99" spans="2:18" x14ac:dyDescent="0.35">
      <c r="B99" s="6" t="s">
        <v>49</v>
      </c>
      <c r="D99" s="87">
        <v>201.77</v>
      </c>
      <c r="E99" s="88"/>
      <c r="F99" s="88"/>
      <c r="G99" s="88"/>
      <c r="H99" s="88"/>
      <c r="I99" s="88"/>
      <c r="J99" s="88"/>
      <c r="K99" s="88"/>
      <c r="L99" s="88"/>
      <c r="M99" s="88"/>
      <c r="N99" s="88"/>
      <c r="O99" s="88"/>
      <c r="P99" s="88"/>
      <c r="Q99" s="88"/>
      <c r="R99" s="89"/>
    </row>
    <row r="100" spans="2:18" x14ac:dyDescent="0.35">
      <c r="B100" s="6" t="s">
        <v>50</v>
      </c>
      <c r="D100" s="87">
        <v>257.42</v>
      </c>
      <c r="E100" s="88"/>
      <c r="F100" s="88"/>
      <c r="G100" s="88"/>
      <c r="H100" s="88"/>
      <c r="I100" s="88"/>
      <c r="J100" s="88"/>
      <c r="K100" s="88"/>
      <c r="L100" s="88"/>
      <c r="M100" s="88"/>
      <c r="N100" s="88"/>
      <c r="O100" s="88"/>
      <c r="P100" s="88"/>
      <c r="Q100" s="88"/>
      <c r="R100" s="89"/>
    </row>
    <row r="101" spans="2:18" x14ac:dyDescent="0.35">
      <c r="B101" s="6" t="s">
        <v>109</v>
      </c>
      <c r="D101" s="87">
        <v>21.45</v>
      </c>
      <c r="E101" s="88"/>
      <c r="F101" s="88"/>
      <c r="G101" s="88"/>
      <c r="H101" s="88"/>
      <c r="I101" s="88"/>
      <c r="J101" s="88"/>
      <c r="K101" s="88"/>
      <c r="L101" s="88"/>
      <c r="M101" s="88"/>
      <c r="N101" s="88"/>
      <c r="O101" s="88"/>
      <c r="P101" s="88"/>
      <c r="Q101" s="88"/>
      <c r="R101" s="89"/>
    </row>
    <row r="102" spans="2:18" x14ac:dyDescent="0.35">
      <c r="B102" s="6" t="s">
        <v>51</v>
      </c>
      <c r="D102" s="87">
        <v>213.39</v>
      </c>
      <c r="E102" s="88"/>
      <c r="F102" s="88"/>
      <c r="G102" s="88"/>
      <c r="H102" s="88"/>
      <c r="I102" s="88"/>
      <c r="J102" s="88"/>
      <c r="K102" s="88"/>
      <c r="L102" s="88"/>
      <c r="M102" s="88"/>
      <c r="N102" s="88"/>
      <c r="O102" s="88"/>
      <c r="P102" s="88"/>
      <c r="Q102" s="88"/>
      <c r="R102" s="89"/>
    </row>
    <row r="103" spans="2:18" x14ac:dyDescent="0.35">
      <c r="B103" s="6" t="s">
        <v>110</v>
      </c>
      <c r="D103" s="87">
        <v>17.782616666666666</v>
      </c>
      <c r="E103" s="88"/>
      <c r="F103" s="88"/>
      <c r="G103" s="88"/>
      <c r="H103" s="88"/>
      <c r="I103" s="88"/>
      <c r="J103" s="88"/>
      <c r="K103" s="88"/>
      <c r="L103" s="88"/>
      <c r="M103" s="88"/>
      <c r="N103" s="88"/>
      <c r="O103" s="88"/>
      <c r="P103" s="88"/>
      <c r="Q103" s="88"/>
      <c r="R103" s="89"/>
    </row>
    <row r="104" spans="2:18" x14ac:dyDescent="0.35">
      <c r="D104" s="93"/>
      <c r="E104" s="94"/>
      <c r="F104" s="95"/>
      <c r="G104" s="95"/>
      <c r="H104" s="95"/>
      <c r="I104" s="95"/>
      <c r="J104" s="95"/>
      <c r="K104" s="95"/>
      <c r="L104" s="95"/>
      <c r="M104" s="95"/>
      <c r="N104" s="95"/>
      <c r="O104" s="95"/>
      <c r="P104" s="95"/>
      <c r="Q104" s="95"/>
      <c r="R104" s="96"/>
    </row>
    <row r="105" spans="2:18" x14ac:dyDescent="0.35">
      <c r="B105" s="6" t="s">
        <v>19</v>
      </c>
      <c r="D105" s="109">
        <v>0.29235292228899556</v>
      </c>
      <c r="E105" s="110"/>
      <c r="F105" s="110"/>
      <c r="G105" s="110"/>
      <c r="H105" s="110"/>
      <c r="I105" s="110"/>
      <c r="J105" s="110"/>
      <c r="K105" s="110"/>
      <c r="L105" s="110"/>
      <c r="M105" s="110"/>
      <c r="N105" s="110"/>
      <c r="O105" s="110"/>
      <c r="P105" s="110"/>
      <c r="Q105" s="110"/>
      <c r="R105" s="111"/>
    </row>
    <row r="108" spans="2:18" x14ac:dyDescent="0.35">
      <c r="B108" s="5" t="s">
        <v>52</v>
      </c>
      <c r="G108" s="5" t="s">
        <v>53</v>
      </c>
      <c r="L108" s="5" t="s">
        <v>54</v>
      </c>
    </row>
    <row r="109" spans="2:18" x14ac:dyDescent="0.35">
      <c r="B109" s="6" t="s">
        <v>55</v>
      </c>
      <c r="G109" s="6" t="s">
        <v>56</v>
      </c>
    </row>
    <row r="111" spans="2:18" x14ac:dyDescent="0.35">
      <c r="B111" s="6" t="s">
        <v>57</v>
      </c>
      <c r="D111" s="112">
        <v>150</v>
      </c>
      <c r="G111" s="6" t="s">
        <v>111</v>
      </c>
      <c r="J111" s="112">
        <v>839.04000000000008</v>
      </c>
      <c r="L111" s="6" t="s">
        <v>58</v>
      </c>
      <c r="O111" s="17">
        <v>1.95</v>
      </c>
    </row>
    <row r="112" spans="2:18" x14ac:dyDescent="0.35">
      <c r="B112" s="6" t="s">
        <v>59</v>
      </c>
      <c r="D112" s="113">
        <v>100</v>
      </c>
      <c r="G112" s="6" t="s">
        <v>60</v>
      </c>
      <c r="J112" s="25">
        <v>0.04</v>
      </c>
      <c r="L112" s="6" t="s">
        <v>61</v>
      </c>
      <c r="O112" s="114">
        <v>500</v>
      </c>
    </row>
    <row r="113" spans="2:15" x14ac:dyDescent="0.35">
      <c r="L113" s="6" t="s">
        <v>62</v>
      </c>
      <c r="O113" s="113">
        <v>38</v>
      </c>
    </row>
    <row r="114" spans="2:15" x14ac:dyDescent="0.35">
      <c r="B114" s="6" t="s">
        <v>112</v>
      </c>
      <c r="D114" s="115">
        <f>IF(D112=0,0,D111/D112)</f>
        <v>1.5</v>
      </c>
      <c r="G114" s="6" t="s">
        <v>113</v>
      </c>
      <c r="J114" s="115">
        <f>J112*J111</f>
        <v>33.561600000000006</v>
      </c>
    </row>
    <row r="115" spans="2:15" x14ac:dyDescent="0.35">
      <c r="B115" s="6" t="s">
        <v>114</v>
      </c>
      <c r="D115" s="24">
        <v>25.657894736842106</v>
      </c>
      <c r="G115" s="6" t="s">
        <v>63</v>
      </c>
      <c r="J115" s="24">
        <v>17</v>
      </c>
      <c r="L115" s="6" t="s">
        <v>114</v>
      </c>
      <c r="O115" s="116">
        <f>IF(O113=0,0,O111*O112/O113)</f>
        <v>25.657894736842106</v>
      </c>
    </row>
    <row r="116" spans="2:15" x14ac:dyDescent="0.35">
      <c r="B116" s="6" t="s">
        <v>115</v>
      </c>
      <c r="D116" s="19">
        <v>5</v>
      </c>
      <c r="G116" s="6" t="s">
        <v>114</v>
      </c>
      <c r="J116" s="19">
        <v>32.5</v>
      </c>
    </row>
    <row r="118" spans="2:15" x14ac:dyDescent="0.35">
      <c r="B118" s="6" t="s">
        <v>116</v>
      </c>
      <c r="D118" s="117">
        <f>F13</f>
        <v>276</v>
      </c>
      <c r="G118" s="6" t="s">
        <v>117</v>
      </c>
      <c r="J118" s="117">
        <f>J18</f>
        <v>380.23599999999999</v>
      </c>
      <c r="L118" s="6" t="s">
        <v>64</v>
      </c>
      <c r="M118" s="12" t="s">
        <v>65</v>
      </c>
    </row>
    <row r="119" spans="2:15" x14ac:dyDescent="0.35">
      <c r="M119" s="12" t="s">
        <v>66</v>
      </c>
    </row>
    <row r="120" spans="2:15" x14ac:dyDescent="0.35">
      <c r="B120" s="6" t="s">
        <v>67</v>
      </c>
      <c r="D120" s="115">
        <f>IF(D118=0,0,(D114+D115+D116)/D118)</f>
        <v>0.11651411136536996</v>
      </c>
      <c r="G120" s="6" t="s">
        <v>68</v>
      </c>
      <c r="J120" s="115">
        <f>IF(J118=0,0,(J114+J115+J116)/J118)</f>
        <v>0.21844749050589635</v>
      </c>
      <c r="M120" s="12" t="s">
        <v>118</v>
      </c>
    </row>
    <row r="121" spans="2:15" x14ac:dyDescent="0.35">
      <c r="B121" s="6" t="s">
        <v>119</v>
      </c>
      <c r="D121" s="19">
        <v>2.4</v>
      </c>
      <c r="G121" s="6" t="s">
        <v>69</v>
      </c>
      <c r="J121" s="19">
        <v>2.4</v>
      </c>
      <c r="M121" s="12" t="s">
        <v>70</v>
      </c>
    </row>
    <row r="122" spans="2:15" x14ac:dyDescent="0.35">
      <c r="L122" s="231" t="s">
        <v>71</v>
      </c>
      <c r="M122" s="232"/>
      <c r="N122" s="232"/>
      <c r="O122" s="232"/>
    </row>
    <row r="123" spans="2:15" x14ac:dyDescent="0.35">
      <c r="B123" s="6" t="s">
        <v>72</v>
      </c>
      <c r="D123" s="116">
        <f>D120+D121</f>
        <v>2.5165141113653697</v>
      </c>
      <c r="G123" s="6" t="s">
        <v>73</v>
      </c>
      <c r="J123" s="116">
        <f>J121-J120</f>
        <v>2.1815525094941037</v>
      </c>
      <c r="L123" s="231" t="s">
        <v>74</v>
      </c>
      <c r="M123" s="232"/>
      <c r="N123" s="232"/>
      <c r="O123" s="232"/>
    </row>
    <row r="126" spans="2:15" x14ac:dyDescent="0.35">
      <c r="B126" s="5" t="s">
        <v>75</v>
      </c>
      <c r="G126" s="6" t="s">
        <v>128</v>
      </c>
    </row>
    <row r="127" spans="2:15" x14ac:dyDescent="0.35">
      <c r="G127" s="6" t="s">
        <v>127</v>
      </c>
    </row>
    <row r="128" spans="2:15" x14ac:dyDescent="0.35">
      <c r="C128" s="118" t="s">
        <v>76</v>
      </c>
      <c r="D128" s="119" t="s">
        <v>120</v>
      </c>
    </row>
    <row r="129" spans="3:4" x14ac:dyDescent="0.35">
      <c r="C129" s="120" t="s">
        <v>77</v>
      </c>
      <c r="D129" s="121" t="s">
        <v>78</v>
      </c>
    </row>
    <row r="131" spans="3:4" x14ac:dyDescent="0.35">
      <c r="C131" s="122">
        <v>250</v>
      </c>
      <c r="D131" s="123">
        <v>38</v>
      </c>
    </row>
    <row r="132" spans="3:4" x14ac:dyDescent="0.35">
      <c r="C132" s="124">
        <v>300</v>
      </c>
      <c r="D132" s="125">
        <v>34</v>
      </c>
    </row>
    <row r="133" spans="3:4" x14ac:dyDescent="0.35">
      <c r="C133" s="124">
        <v>350</v>
      </c>
      <c r="D133" s="125">
        <v>30</v>
      </c>
    </row>
    <row r="134" spans="3:4" x14ac:dyDescent="0.35">
      <c r="C134" s="124">
        <v>400</v>
      </c>
      <c r="D134" s="125">
        <v>28</v>
      </c>
    </row>
    <row r="135" spans="3:4" x14ac:dyDescent="0.35">
      <c r="C135" s="124">
        <v>450</v>
      </c>
      <c r="D135" s="125">
        <v>26</v>
      </c>
    </row>
    <row r="136" spans="3:4" x14ac:dyDescent="0.35">
      <c r="C136" s="124">
        <v>500</v>
      </c>
      <c r="D136" s="125">
        <v>24</v>
      </c>
    </row>
    <row r="137" spans="3:4" x14ac:dyDescent="0.35">
      <c r="C137" s="124">
        <v>550</v>
      </c>
      <c r="D137" s="125">
        <v>22</v>
      </c>
    </row>
    <row r="138" spans="3:4" x14ac:dyDescent="0.35">
      <c r="C138" s="124">
        <v>600</v>
      </c>
      <c r="D138" s="125">
        <v>20</v>
      </c>
    </row>
    <row r="139" spans="3:4" x14ac:dyDescent="0.35">
      <c r="C139" s="126">
        <v>650</v>
      </c>
      <c r="D139" s="127">
        <v>18</v>
      </c>
    </row>
  </sheetData>
  <mergeCells count="2">
    <mergeCell ref="L122:O122"/>
    <mergeCell ref="L123:O123"/>
  </mergeCells>
  <phoneticPr fontId="0" type="noConversion"/>
  <pageMargins left="0.32" right="0.38" top="0.73" bottom="0.7" header="0.5" footer="0.5"/>
  <pageSetup paperSize="9" scale="48" fitToHeight="2" orientation="portrait" r:id="rId1"/>
  <headerFooter alignWithMargins="0"/>
  <rowBreaks count="1" manualBreakCount="1">
    <brk id="106" min="1" max="17" man="1"/>
  </rowBreaks>
  <ignoredErrors>
    <ignoredError sqref="F68:R69 L57:L6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dimension ref="A2:A25"/>
  <sheetViews>
    <sheetView showGridLines="0" workbookViewId="0">
      <selection activeCell="A30" sqref="A30"/>
    </sheetView>
  </sheetViews>
  <sheetFormatPr defaultColWidth="9.6640625" defaultRowHeight="12.5" x14ac:dyDescent="0.25"/>
  <cols>
    <col min="1" max="1" width="136.33203125" style="2" customWidth="1"/>
    <col min="2" max="16384" width="9.6640625" style="1"/>
  </cols>
  <sheetData>
    <row r="2" spans="1:1" ht="13" x14ac:dyDescent="0.3">
      <c r="A2" s="3" t="s">
        <v>79</v>
      </c>
    </row>
    <row r="3" spans="1:1" x14ac:dyDescent="0.25">
      <c r="A3" s="4" t="s">
        <v>129</v>
      </c>
    </row>
    <row r="4" spans="1:1" x14ac:dyDescent="0.25">
      <c r="A4" s="2" t="s">
        <v>80</v>
      </c>
    </row>
    <row r="5" spans="1:1" x14ac:dyDescent="0.25">
      <c r="A5" s="2" t="s">
        <v>81</v>
      </c>
    </row>
    <row r="6" spans="1:1" x14ac:dyDescent="0.25">
      <c r="A6" s="2" t="s">
        <v>94</v>
      </c>
    </row>
    <row r="7" spans="1:1" x14ac:dyDescent="0.25">
      <c r="A7" s="2" t="s">
        <v>95</v>
      </c>
    </row>
    <row r="8" spans="1:1" x14ac:dyDescent="0.25">
      <c r="A8" s="2" t="s">
        <v>98</v>
      </c>
    </row>
    <row r="9" spans="1:1" x14ac:dyDescent="0.25">
      <c r="A9" s="2" t="s">
        <v>99</v>
      </c>
    </row>
    <row r="10" spans="1:1" ht="25" x14ac:dyDescent="0.25">
      <c r="A10" s="2" t="s">
        <v>96</v>
      </c>
    </row>
    <row r="11" spans="1:1" x14ac:dyDescent="0.25">
      <c r="A11" s="2" t="s">
        <v>97</v>
      </c>
    </row>
    <row r="12" spans="1:1" x14ac:dyDescent="0.25">
      <c r="A12" s="2" t="s">
        <v>82</v>
      </c>
    </row>
    <row r="13" spans="1:1" x14ac:dyDescent="0.25">
      <c r="A13" s="2" t="s">
        <v>83</v>
      </c>
    </row>
    <row r="14" spans="1:1" x14ac:dyDescent="0.25">
      <c r="A14" s="2" t="s">
        <v>84</v>
      </c>
    </row>
    <row r="16" spans="1:1" ht="13" x14ac:dyDescent="0.3">
      <c r="A16" s="3" t="s">
        <v>85</v>
      </c>
    </row>
    <row r="17" spans="1:1" x14ac:dyDescent="0.25">
      <c r="A17" s="2" t="s">
        <v>86</v>
      </c>
    </row>
    <row r="18" spans="1:1" x14ac:dyDescent="0.25">
      <c r="A18" s="2" t="s">
        <v>87</v>
      </c>
    </row>
    <row r="20" spans="1:1" ht="13" x14ac:dyDescent="0.3">
      <c r="A20" s="3" t="s">
        <v>90</v>
      </c>
    </row>
    <row r="21" spans="1:1" x14ac:dyDescent="0.25">
      <c r="A21" s="2" t="s">
        <v>89</v>
      </c>
    </row>
    <row r="22" spans="1:1" x14ac:dyDescent="0.25">
      <c r="A22" s="2" t="s">
        <v>91</v>
      </c>
    </row>
    <row r="23" spans="1:1" x14ac:dyDescent="0.25">
      <c r="A23" s="2" t="s">
        <v>92</v>
      </c>
    </row>
    <row r="24" spans="1:1" x14ac:dyDescent="0.25">
      <c r="A24" s="2" t="s">
        <v>93</v>
      </c>
    </row>
    <row r="25" spans="1:1" x14ac:dyDescent="0.25">
      <c r="A25" s="2" t="s">
        <v>88</v>
      </c>
    </row>
  </sheetData>
  <sheetProtection password="8B03" sheet="1" objects="1" scenarios="1"/>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4"/>
  <sheetViews>
    <sheetView showGridLines="0" topLeftCell="B7" zoomScale="75" zoomScaleNormal="75" workbookViewId="0">
      <selection activeCell="H70" sqref="H70"/>
    </sheetView>
  </sheetViews>
  <sheetFormatPr defaultColWidth="11.6640625" defaultRowHeight="15.5" x14ac:dyDescent="0.35"/>
  <cols>
    <col min="1" max="1" width="11.6640625" style="128"/>
    <col min="2" max="2" width="47.6640625" style="128" customWidth="1"/>
    <col min="3" max="3" width="15.08203125" style="131" bestFit="1" customWidth="1"/>
    <col min="4" max="4" width="2.4140625" style="128" customWidth="1"/>
    <col min="5" max="5" width="43.25" style="128" customWidth="1"/>
    <col min="6" max="6" width="10.6640625" style="128" bestFit="1" customWidth="1"/>
    <col min="7" max="7" width="8.9140625" style="128" customWidth="1"/>
    <col min="8" max="9" width="11.6640625" style="128"/>
    <col min="10" max="10" width="22.08203125" style="128" customWidth="1"/>
    <col min="11" max="11" width="20.75" style="128" customWidth="1"/>
    <col min="12" max="14" width="9.6640625" style="128" bestFit="1" customWidth="1"/>
    <col min="15" max="15" width="11.6640625" style="128"/>
    <col min="16" max="16" width="9.6640625" style="128" bestFit="1" customWidth="1"/>
    <col min="17" max="16384" width="11.6640625" style="128"/>
  </cols>
  <sheetData>
    <row r="1" spans="2:13" x14ac:dyDescent="0.35">
      <c r="B1" s="233" t="s">
        <v>132</v>
      </c>
      <c r="C1" s="233"/>
      <c r="D1" s="233"/>
      <c r="E1" s="233"/>
      <c r="F1" s="233"/>
      <c r="J1" s="129"/>
      <c r="K1" s="129"/>
      <c r="L1" s="129"/>
    </row>
    <row r="2" spans="2:13" x14ac:dyDescent="0.35">
      <c r="B2" s="233" t="s">
        <v>133</v>
      </c>
      <c r="C2" s="233"/>
      <c r="D2" s="233"/>
      <c r="E2" s="233"/>
      <c r="F2" s="233"/>
      <c r="J2" s="129"/>
      <c r="K2" s="129"/>
      <c r="L2" s="129"/>
    </row>
    <row r="3" spans="2:13" x14ac:dyDescent="0.35">
      <c r="B3" s="130"/>
      <c r="J3" s="129"/>
      <c r="K3" s="129"/>
      <c r="L3" s="129"/>
    </row>
    <row r="4" spans="2:13" x14ac:dyDescent="0.35">
      <c r="B4" s="233" t="s">
        <v>134</v>
      </c>
      <c r="C4" s="233"/>
      <c r="D4" s="233"/>
      <c r="E4" s="233"/>
      <c r="F4" s="233"/>
      <c r="J4" s="129"/>
      <c r="K4" s="129"/>
      <c r="L4" s="129"/>
    </row>
    <row r="5" spans="2:13" x14ac:dyDescent="0.35">
      <c r="B5" s="132" t="s">
        <v>135</v>
      </c>
      <c r="J5" s="129"/>
      <c r="K5" s="129"/>
      <c r="L5" s="129"/>
    </row>
    <row r="6" spans="2:13" x14ac:dyDescent="0.35">
      <c r="B6" s="130" t="s">
        <v>136</v>
      </c>
      <c r="C6" s="133" t="s">
        <v>137</v>
      </c>
      <c r="D6" s="134"/>
      <c r="E6" s="134"/>
      <c r="J6" s="129"/>
      <c r="K6" s="129"/>
      <c r="L6" s="129"/>
    </row>
    <row r="7" spans="2:13" x14ac:dyDescent="0.35">
      <c r="B7" s="130" t="s">
        <v>138</v>
      </c>
      <c r="C7" s="133" t="s">
        <v>139</v>
      </c>
      <c r="D7" s="134"/>
      <c r="E7" s="134"/>
      <c r="J7" s="129"/>
      <c r="K7" s="129"/>
      <c r="L7" s="129"/>
    </row>
    <row r="8" spans="2:13" x14ac:dyDescent="0.35">
      <c r="J8" s="129"/>
      <c r="K8" s="129"/>
      <c r="L8" s="129"/>
    </row>
    <row r="9" spans="2:13" x14ac:dyDescent="0.35">
      <c r="B9" s="130" t="s">
        <v>140</v>
      </c>
      <c r="C9" s="135">
        <v>1</v>
      </c>
      <c r="E9" s="130"/>
      <c r="F9" s="136"/>
      <c r="G9" s="130"/>
      <c r="J9" s="129"/>
      <c r="K9" s="129"/>
      <c r="L9" s="129"/>
    </row>
    <row r="10" spans="2:13" x14ac:dyDescent="0.35">
      <c r="B10" s="130" t="s">
        <v>141</v>
      </c>
      <c r="C10" s="137">
        <v>43586</v>
      </c>
      <c r="E10" s="130"/>
      <c r="F10" s="136"/>
      <c r="G10" s="130"/>
      <c r="J10" s="129"/>
      <c r="K10" s="129"/>
      <c r="L10" s="129"/>
    </row>
    <row r="11" spans="2:13" x14ac:dyDescent="0.35">
      <c r="B11" s="130" t="s">
        <v>142</v>
      </c>
      <c r="C11" s="137">
        <v>43951</v>
      </c>
      <c r="E11" s="130"/>
      <c r="F11" s="136"/>
      <c r="G11" s="130"/>
      <c r="J11" s="129"/>
      <c r="K11" s="129"/>
      <c r="L11" s="129"/>
    </row>
    <row r="12" spans="2:13" x14ac:dyDescent="0.35">
      <c r="B12" s="138" t="s">
        <v>143</v>
      </c>
      <c r="C12" s="139">
        <f>C11-C10</f>
        <v>365</v>
      </c>
      <c r="E12" s="130"/>
      <c r="F12" s="136"/>
      <c r="G12" s="130"/>
      <c r="J12" s="129"/>
      <c r="K12" s="129"/>
      <c r="L12" s="129"/>
    </row>
    <row r="13" spans="2:13" x14ac:dyDescent="0.35">
      <c r="B13" s="138" t="s">
        <v>144</v>
      </c>
      <c r="C13" s="139">
        <f>C12/7</f>
        <v>52.142857142857146</v>
      </c>
      <c r="E13" s="130"/>
      <c r="F13" s="136"/>
      <c r="G13" s="130"/>
      <c r="J13" s="129"/>
      <c r="K13" s="129"/>
      <c r="L13" s="129"/>
    </row>
    <row r="14" spans="2:13" x14ac:dyDescent="0.35">
      <c r="B14" s="130"/>
      <c r="C14" s="140"/>
      <c r="E14" s="130"/>
      <c r="F14" s="136"/>
      <c r="G14" s="130"/>
      <c r="J14" s="129"/>
      <c r="K14" s="129"/>
      <c r="L14" s="129"/>
      <c r="M14" s="141"/>
    </row>
    <row r="15" spans="2:13" x14ac:dyDescent="0.35">
      <c r="B15" s="142" t="s">
        <v>220</v>
      </c>
      <c r="C15" s="140"/>
      <c r="E15" s="130"/>
      <c r="F15" s="136"/>
      <c r="G15" s="130"/>
      <c r="L15" s="141"/>
      <c r="M15" s="141"/>
    </row>
    <row r="16" spans="2:13" x14ac:dyDescent="0.35">
      <c r="B16" s="130" t="s">
        <v>221</v>
      </c>
      <c r="C16" s="135">
        <v>300</v>
      </c>
      <c r="G16" s="130"/>
      <c r="L16" s="141"/>
      <c r="M16" s="141"/>
    </row>
    <row r="17" spans="2:13" x14ac:dyDescent="0.35">
      <c r="B17" s="130" t="s">
        <v>222</v>
      </c>
      <c r="C17" s="143">
        <v>0.08</v>
      </c>
      <c r="G17" s="130"/>
      <c r="J17" s="129"/>
      <c r="K17" s="129"/>
      <c r="L17" s="141"/>
      <c r="M17" s="141"/>
    </row>
    <row r="18" spans="2:13" x14ac:dyDescent="0.35">
      <c r="B18" s="130" t="s">
        <v>223</v>
      </c>
      <c r="C18" s="144">
        <f>C16-(C16*C17)</f>
        <v>276</v>
      </c>
      <c r="G18" s="130"/>
      <c r="J18" s="145" t="s">
        <v>146</v>
      </c>
      <c r="K18" s="146"/>
      <c r="L18" s="141"/>
      <c r="M18" s="141"/>
    </row>
    <row r="19" spans="2:13" x14ac:dyDescent="0.35">
      <c r="B19" s="130" t="s">
        <v>224</v>
      </c>
      <c r="C19" s="147">
        <v>2.2999999999999998</v>
      </c>
      <c r="E19" s="130" t="s">
        <v>225</v>
      </c>
      <c r="F19" s="148">
        <f>C18*C19</f>
        <v>634.79999999999995</v>
      </c>
      <c r="G19" s="130"/>
      <c r="J19" s="149" t="s">
        <v>147</v>
      </c>
      <c r="K19" s="150">
        <v>1</v>
      </c>
      <c r="L19" s="141"/>
    </row>
    <row r="20" spans="2:13" x14ac:dyDescent="0.35">
      <c r="B20" s="130" t="s">
        <v>230</v>
      </c>
      <c r="C20" s="151">
        <v>0.04</v>
      </c>
      <c r="E20" s="130" t="s">
        <v>226</v>
      </c>
      <c r="F20" s="152">
        <f>F19*C20</f>
        <v>25.391999999999999</v>
      </c>
      <c r="G20" s="130"/>
      <c r="J20" s="149" t="s">
        <v>148</v>
      </c>
      <c r="K20" s="153">
        <v>500</v>
      </c>
      <c r="L20" s="141"/>
    </row>
    <row r="21" spans="2:13" x14ac:dyDescent="0.35">
      <c r="B21" s="130" t="s">
        <v>63</v>
      </c>
      <c r="C21" s="147">
        <v>15</v>
      </c>
      <c r="G21" s="130"/>
      <c r="J21" s="149" t="s">
        <v>149</v>
      </c>
      <c r="K21" s="154">
        <v>2</v>
      </c>
      <c r="L21" s="141"/>
    </row>
    <row r="22" spans="2:13" x14ac:dyDescent="0.35">
      <c r="B22" s="130" t="s">
        <v>227</v>
      </c>
      <c r="C22" s="147">
        <v>29.41</v>
      </c>
      <c r="E22" s="130" t="s">
        <v>150</v>
      </c>
      <c r="F22" s="148">
        <f>SUM(C21:C23)+F20</f>
        <v>69.801999999999992</v>
      </c>
      <c r="G22" s="130"/>
      <c r="J22" s="149" t="s">
        <v>151</v>
      </c>
      <c r="K22" s="153">
        <v>34</v>
      </c>
      <c r="L22" s="141"/>
    </row>
    <row r="23" spans="2:13" x14ac:dyDescent="0.35">
      <c r="B23" s="130" t="s">
        <v>228</v>
      </c>
      <c r="C23" s="147">
        <v>0</v>
      </c>
      <c r="E23" s="130" t="s">
        <v>152</v>
      </c>
      <c r="F23" s="148">
        <f>F22/C16</f>
        <v>0.23267333333333332</v>
      </c>
      <c r="G23" s="130"/>
      <c r="J23" s="149" t="s">
        <v>153</v>
      </c>
      <c r="K23" s="155">
        <f>IF(K19&gt;0,K19*K20*K21/K22,0)</f>
        <v>29.411764705882351</v>
      </c>
      <c r="L23" s="141"/>
    </row>
    <row r="24" spans="2:13" ht="16" thickBot="1" x14ac:dyDescent="0.4">
      <c r="B24" s="156" t="s">
        <v>229</v>
      </c>
      <c r="C24" s="157">
        <f>F19-F22</f>
        <v>564.99799999999993</v>
      </c>
      <c r="E24" s="130"/>
      <c r="F24" s="130"/>
      <c r="G24" s="130"/>
      <c r="J24" s="149" t="s">
        <v>154</v>
      </c>
      <c r="K24" s="158">
        <f>IF(K19&gt;0,K23/K19,0)</f>
        <v>29.411764705882351</v>
      </c>
      <c r="L24" s="141"/>
    </row>
    <row r="25" spans="2:13" ht="16" thickTop="1" x14ac:dyDescent="0.35">
      <c r="B25" s="156" t="s">
        <v>231</v>
      </c>
      <c r="C25" s="159">
        <f>C24/C18</f>
        <v>2.0470942028985504</v>
      </c>
      <c r="E25" s="130"/>
      <c r="F25" s="130"/>
      <c r="G25" s="130"/>
      <c r="L25" s="6"/>
    </row>
    <row r="26" spans="2:13" x14ac:dyDescent="0.35">
      <c r="B26" s="130"/>
      <c r="C26" s="140"/>
      <c r="E26" s="130"/>
      <c r="F26" s="136"/>
      <c r="G26" s="130"/>
      <c r="L26" s="6"/>
    </row>
    <row r="27" spans="2:13" x14ac:dyDescent="0.35">
      <c r="B27" s="142" t="s">
        <v>155</v>
      </c>
      <c r="C27" s="140"/>
      <c r="E27" s="130"/>
      <c r="F27" s="136"/>
      <c r="G27" s="130"/>
      <c r="J27" s="160" t="s">
        <v>156</v>
      </c>
      <c r="K27" s="161"/>
    </row>
    <row r="28" spans="2:13" x14ac:dyDescent="0.35">
      <c r="B28" s="130" t="s">
        <v>157</v>
      </c>
      <c r="C28" s="162">
        <v>0</v>
      </c>
      <c r="E28" s="130" t="s">
        <v>158</v>
      </c>
      <c r="F28" s="148">
        <f>C13*C28</f>
        <v>0</v>
      </c>
      <c r="J28" s="163" t="s">
        <v>159</v>
      </c>
      <c r="K28" s="163"/>
    </row>
    <row r="29" spans="2:13" x14ac:dyDescent="0.35">
      <c r="B29" s="130" t="s">
        <v>160</v>
      </c>
      <c r="C29" s="162">
        <v>24.29</v>
      </c>
      <c r="J29" s="164" t="s">
        <v>161</v>
      </c>
      <c r="K29" s="165"/>
    </row>
    <row r="30" spans="2:13" x14ac:dyDescent="0.35">
      <c r="B30" s="130" t="s">
        <v>162</v>
      </c>
      <c r="C30" s="162">
        <v>0</v>
      </c>
      <c r="J30" s="166" t="s">
        <v>76</v>
      </c>
      <c r="K30" s="166" t="s">
        <v>163</v>
      </c>
    </row>
    <row r="31" spans="2:13" x14ac:dyDescent="0.35">
      <c r="B31" s="130" t="s">
        <v>164</v>
      </c>
      <c r="C31" s="162">
        <v>0</v>
      </c>
      <c r="J31" s="167" t="s">
        <v>77</v>
      </c>
      <c r="K31" s="167" t="s">
        <v>165</v>
      </c>
    </row>
    <row r="32" spans="2:13" x14ac:dyDescent="0.35">
      <c r="B32" s="156" t="s">
        <v>166</v>
      </c>
      <c r="C32" s="168">
        <f>SUM(F28,C29,C30,C31)</f>
        <v>24.29</v>
      </c>
      <c r="J32" s="169">
        <v>250</v>
      </c>
      <c r="K32" s="169">
        <v>38</v>
      </c>
    </row>
    <row r="33" spans="2:14" ht="16" thickBot="1" x14ac:dyDescent="0.4">
      <c r="B33" s="156" t="s">
        <v>167</v>
      </c>
      <c r="C33" s="157">
        <f>C24+C32</f>
        <v>589.2879999999999</v>
      </c>
      <c r="E33" s="130"/>
      <c r="F33" s="170"/>
      <c r="J33" s="171">
        <v>300</v>
      </c>
      <c r="K33" s="171">
        <v>34</v>
      </c>
      <c r="N33" s="141"/>
    </row>
    <row r="34" spans="2:14" ht="16" thickTop="1" x14ac:dyDescent="0.35">
      <c r="B34" s="130"/>
      <c r="C34" s="170"/>
      <c r="E34" s="130"/>
      <c r="F34" s="170"/>
      <c r="J34" s="171">
        <v>350</v>
      </c>
      <c r="K34" s="171">
        <v>30</v>
      </c>
      <c r="N34" s="141"/>
    </row>
    <row r="35" spans="2:14" x14ac:dyDescent="0.35">
      <c r="B35" s="142" t="s">
        <v>168</v>
      </c>
      <c r="C35" s="170"/>
      <c r="E35" s="130"/>
      <c r="F35" s="170"/>
      <c r="J35" s="171">
        <v>400</v>
      </c>
      <c r="K35" s="171">
        <v>28</v>
      </c>
      <c r="N35" s="141"/>
    </row>
    <row r="36" spans="2:14" x14ac:dyDescent="0.35">
      <c r="B36" s="130" t="s">
        <v>169</v>
      </c>
      <c r="C36" s="172">
        <v>0.31041095890410958</v>
      </c>
      <c r="E36" s="130"/>
      <c r="F36" s="170"/>
      <c r="J36" s="171">
        <v>450</v>
      </c>
      <c r="K36" s="171">
        <v>26</v>
      </c>
    </row>
    <row r="37" spans="2:14" x14ac:dyDescent="0.35">
      <c r="B37" s="130" t="s">
        <v>170</v>
      </c>
      <c r="C37" s="173">
        <f>C12*C36</f>
        <v>113.3</v>
      </c>
      <c r="E37" s="130"/>
      <c r="F37" s="170"/>
      <c r="J37" s="171">
        <v>500</v>
      </c>
      <c r="K37" s="171">
        <v>24</v>
      </c>
    </row>
    <row r="38" spans="2:14" x14ac:dyDescent="0.35">
      <c r="B38" s="130" t="s">
        <v>171</v>
      </c>
      <c r="C38" s="173">
        <f>C37+C16</f>
        <v>413.3</v>
      </c>
      <c r="E38" s="130"/>
      <c r="F38" s="170"/>
      <c r="J38" s="171">
        <v>550</v>
      </c>
      <c r="K38" s="171">
        <v>22</v>
      </c>
    </row>
    <row r="39" spans="2:14" x14ac:dyDescent="0.35">
      <c r="B39" s="130" t="s">
        <v>172</v>
      </c>
      <c r="C39" s="174">
        <v>0.08</v>
      </c>
      <c r="E39" s="130"/>
      <c r="F39" s="170"/>
      <c r="J39" s="171">
        <v>600</v>
      </c>
      <c r="K39" s="171">
        <v>20</v>
      </c>
    </row>
    <row r="40" spans="2:14" x14ac:dyDescent="0.35">
      <c r="B40" s="130" t="s">
        <v>173</v>
      </c>
      <c r="C40" s="173">
        <f>C38-(C38*C39)</f>
        <v>380.23599999999999</v>
      </c>
      <c r="G40" s="175"/>
      <c r="J40" s="171">
        <v>650</v>
      </c>
      <c r="K40" s="171">
        <v>18</v>
      </c>
    </row>
    <row r="41" spans="2:14" x14ac:dyDescent="0.35">
      <c r="B41" s="130"/>
      <c r="C41" s="173"/>
      <c r="G41" s="175"/>
    </row>
    <row r="42" spans="2:14" x14ac:dyDescent="0.35">
      <c r="B42" s="130" t="s">
        <v>174</v>
      </c>
      <c r="C42" s="162">
        <v>2.4</v>
      </c>
      <c r="E42" s="130" t="s">
        <v>175</v>
      </c>
      <c r="F42" s="148">
        <f>C40*C42</f>
        <v>912.56639999999993</v>
      </c>
      <c r="G42" s="175"/>
      <c r="J42" s="145" t="s">
        <v>146</v>
      </c>
      <c r="K42" s="146"/>
    </row>
    <row r="43" spans="2:14" x14ac:dyDescent="0.35">
      <c r="B43" s="130" t="s">
        <v>176</v>
      </c>
      <c r="C43" s="143">
        <v>0.04</v>
      </c>
      <c r="E43" s="130" t="s">
        <v>177</v>
      </c>
      <c r="F43" s="148">
        <f>C43*F42</f>
        <v>36.502655999999995</v>
      </c>
      <c r="G43" s="175"/>
      <c r="J43" s="149" t="s">
        <v>147</v>
      </c>
      <c r="K43" s="150">
        <v>1</v>
      </c>
    </row>
    <row r="44" spans="2:14" x14ac:dyDescent="0.35">
      <c r="B44" s="130" t="s">
        <v>178</v>
      </c>
      <c r="C44" s="162">
        <v>5</v>
      </c>
      <c r="E44" s="130"/>
      <c r="F44" s="176"/>
      <c r="G44" s="175"/>
      <c r="J44" s="149" t="s">
        <v>148</v>
      </c>
      <c r="K44" s="153">
        <v>500</v>
      </c>
    </row>
    <row r="45" spans="2:14" x14ac:dyDescent="0.35">
      <c r="B45" s="130" t="s">
        <v>179</v>
      </c>
      <c r="C45" s="162">
        <v>10</v>
      </c>
      <c r="E45" s="130"/>
      <c r="F45" s="176"/>
      <c r="G45" s="175"/>
      <c r="J45" s="149" t="s">
        <v>149</v>
      </c>
      <c r="K45" s="154">
        <v>2</v>
      </c>
    </row>
    <row r="46" spans="2:14" x14ac:dyDescent="0.35">
      <c r="B46" s="130" t="s">
        <v>180</v>
      </c>
      <c r="C46" s="162">
        <v>0</v>
      </c>
      <c r="E46" s="130"/>
      <c r="F46" s="176"/>
      <c r="G46" s="175"/>
      <c r="J46" s="149" t="s">
        <v>151</v>
      </c>
      <c r="K46" s="153">
        <v>27</v>
      </c>
    </row>
    <row r="47" spans="2:14" x14ac:dyDescent="0.35">
      <c r="B47" s="130" t="s">
        <v>181</v>
      </c>
      <c r="C47" s="162">
        <v>37.04</v>
      </c>
      <c r="E47" s="130" t="s">
        <v>182</v>
      </c>
      <c r="F47" s="148">
        <f>SUM(F43,C44,C45,C46,C47)</f>
        <v>88.542655999999994</v>
      </c>
      <c r="G47" s="175"/>
      <c r="J47" s="149" t="s">
        <v>153</v>
      </c>
      <c r="K47" s="155">
        <f>IF(K43&gt;0,K43*K44*K45/K46,0)</f>
        <v>37.037037037037038</v>
      </c>
    </row>
    <row r="48" spans="2:14" ht="16" thickBot="1" x14ac:dyDescent="0.4">
      <c r="B48" s="156" t="s">
        <v>183</v>
      </c>
      <c r="C48" s="157">
        <f>F42-F47</f>
        <v>824.02374399999997</v>
      </c>
      <c r="E48" s="130"/>
      <c r="F48" s="130"/>
      <c r="G48" s="175"/>
      <c r="J48" s="149" t="s">
        <v>154</v>
      </c>
      <c r="K48" s="158">
        <f>IF(K43&gt;0,K47/K43,0)</f>
        <v>37.037037037037038</v>
      </c>
    </row>
    <row r="49" spans="2:25" ht="16" thickTop="1" x14ac:dyDescent="0.35">
      <c r="B49" s="156" t="s">
        <v>184</v>
      </c>
      <c r="C49" s="159">
        <f>C48/C40</f>
        <v>2.167137630313805</v>
      </c>
      <c r="E49" s="130"/>
      <c r="F49" s="130"/>
      <c r="G49" s="175"/>
    </row>
    <row r="50" spans="2:25" x14ac:dyDescent="0.35">
      <c r="B50" s="130" t="s">
        <v>185</v>
      </c>
      <c r="C50" s="177">
        <v>0.04</v>
      </c>
    </row>
    <row r="51" spans="2:25" x14ac:dyDescent="0.35">
      <c r="B51" s="130" t="s">
        <v>186</v>
      </c>
      <c r="C51" s="170">
        <f>C9*(1-C50)</f>
        <v>0.96</v>
      </c>
      <c r="J51" s="6" t="s">
        <v>187</v>
      </c>
      <c r="L51" s="17">
        <v>0.1</v>
      </c>
      <c r="N51" s="129"/>
      <c r="O51" s="129"/>
      <c r="P51" s="6"/>
      <c r="Q51" s="6"/>
      <c r="R51" s="6"/>
      <c r="S51" s="6"/>
      <c r="T51" s="6"/>
      <c r="U51" s="6"/>
      <c r="V51" s="6"/>
      <c r="W51" s="6"/>
    </row>
    <row r="52" spans="2:25" x14ac:dyDescent="0.35">
      <c r="J52" s="6" t="s">
        <v>188</v>
      </c>
      <c r="L52" s="19">
        <v>0.1</v>
      </c>
      <c r="N52" s="129"/>
      <c r="O52" s="129"/>
      <c r="P52" s="6"/>
      <c r="Q52" s="6"/>
      <c r="R52" s="6"/>
      <c r="S52" s="6"/>
      <c r="T52" s="6"/>
      <c r="U52" s="6"/>
      <c r="V52" s="6"/>
      <c r="W52" s="6"/>
    </row>
    <row r="53" spans="2:25" x14ac:dyDescent="0.35">
      <c r="B53" s="142" t="s">
        <v>189</v>
      </c>
      <c r="C53" s="178"/>
      <c r="J53" s="6"/>
      <c r="K53" s="6"/>
      <c r="L53" s="6"/>
      <c r="M53" s="6"/>
      <c r="N53" s="6"/>
      <c r="O53" s="6"/>
      <c r="P53" s="6"/>
      <c r="Q53" s="6"/>
      <c r="R53" s="6"/>
      <c r="S53" s="6"/>
      <c r="T53" s="6"/>
      <c r="U53" s="6"/>
      <c r="V53" s="6"/>
      <c r="W53" s="6"/>
    </row>
    <row r="54" spans="2:25" x14ac:dyDescent="0.35">
      <c r="B54" s="130" t="s">
        <v>190</v>
      </c>
      <c r="C54" s="177">
        <v>0.05</v>
      </c>
      <c r="E54" s="138"/>
      <c r="F54" s="175"/>
      <c r="J54" s="6"/>
      <c r="K54" s="6"/>
      <c r="L54" s="6"/>
      <c r="M54" s="6"/>
      <c r="N54" s="6"/>
      <c r="O54" s="6"/>
      <c r="P54" s="6"/>
      <c r="Q54" s="6"/>
      <c r="R54" s="6"/>
      <c r="S54" s="6"/>
      <c r="T54" s="6"/>
      <c r="U54" s="6"/>
      <c r="V54" s="6"/>
      <c r="W54" s="6"/>
    </row>
    <row r="55" spans="2:25" x14ac:dyDescent="0.35">
      <c r="B55" s="179" t="s">
        <v>191</v>
      </c>
      <c r="C55" s="128">
        <f>($C$54*($C$12/365)*(($C$16*$C$25+(1-$C$50)*($C$40*$C$49)+$C$32)/2))</f>
        <v>35.737026377739127</v>
      </c>
      <c r="E55" s="180" t="s">
        <v>192</v>
      </c>
      <c r="F55" s="181">
        <f>C55*C9</f>
        <v>35.737026377739127</v>
      </c>
      <c r="J55" s="6"/>
    </row>
    <row r="56" spans="2:25" x14ac:dyDescent="0.35">
      <c r="B56" s="182" t="s">
        <v>193</v>
      </c>
      <c r="C56" s="183">
        <f>C32*(C12/2/365)*C54</f>
        <v>0.60725000000000007</v>
      </c>
      <c r="E56" s="184" t="s">
        <v>194</v>
      </c>
      <c r="F56" s="185">
        <f>C56*C9</f>
        <v>0.60725000000000007</v>
      </c>
      <c r="J56" s="12" t="s">
        <v>22</v>
      </c>
      <c r="K56" s="186">
        <f>L56-$L$51</f>
        <v>1.8671376303138048</v>
      </c>
      <c r="L56" s="187">
        <f>M56-$L$51</f>
        <v>1.9671376303138048</v>
      </c>
      <c r="M56" s="187">
        <f>N56-$L$51</f>
        <v>2.0671376303138049</v>
      </c>
      <c r="N56" s="188">
        <f>C49</f>
        <v>2.167137630313805</v>
      </c>
      <c r="O56" s="187">
        <f>N56+$L$51</f>
        <v>2.2671376303138051</v>
      </c>
      <c r="P56" s="187">
        <f>O56+$L$51</f>
        <v>2.3671376303138052</v>
      </c>
      <c r="Q56" s="189">
        <f>P56+$L$51</f>
        <v>2.4671376303138053</v>
      </c>
      <c r="R56" s="129"/>
      <c r="S56" s="186">
        <f t="shared" ref="S56:Y56" si="0">K56</f>
        <v>1.8671376303138048</v>
      </c>
      <c r="T56" s="187">
        <f t="shared" si="0"/>
        <v>1.9671376303138048</v>
      </c>
      <c r="U56" s="187">
        <f t="shared" si="0"/>
        <v>2.0671376303138049</v>
      </c>
      <c r="V56" s="188">
        <f t="shared" si="0"/>
        <v>2.167137630313805</v>
      </c>
      <c r="W56" s="187">
        <f t="shared" si="0"/>
        <v>2.2671376303138051</v>
      </c>
      <c r="X56" s="187">
        <f t="shared" si="0"/>
        <v>2.3671376303138052</v>
      </c>
      <c r="Y56" s="189">
        <f t="shared" si="0"/>
        <v>2.4671376303138053</v>
      </c>
    </row>
    <row r="57" spans="2:25" x14ac:dyDescent="0.35">
      <c r="B57" s="190" t="s">
        <v>195</v>
      </c>
      <c r="C57" s="191">
        <f>SUM(C55:C56)</f>
        <v>36.344276377739128</v>
      </c>
      <c r="D57" s="192"/>
      <c r="E57" s="193" t="s">
        <v>196</v>
      </c>
      <c r="F57" s="194">
        <f>SUM(F55:F56)</f>
        <v>36.344276377739128</v>
      </c>
      <c r="J57" s="12"/>
      <c r="K57" s="129"/>
      <c r="L57" s="129"/>
      <c r="M57" s="129"/>
      <c r="N57" s="129"/>
      <c r="O57" s="129"/>
      <c r="P57" s="129"/>
      <c r="Q57" s="129"/>
      <c r="R57" s="6"/>
      <c r="S57" s="129"/>
      <c r="T57" s="129"/>
      <c r="U57" s="129"/>
      <c r="V57" s="129"/>
      <c r="W57" s="129"/>
      <c r="X57" s="129"/>
      <c r="Y57" s="129"/>
    </row>
    <row r="58" spans="2:25" x14ac:dyDescent="0.35">
      <c r="I58" s="195"/>
      <c r="J58" s="28"/>
      <c r="K58" s="12" t="s">
        <v>24</v>
      </c>
      <c r="L58" s="6"/>
      <c r="M58" s="6"/>
      <c r="N58" s="6"/>
      <c r="O58" s="6"/>
      <c r="P58" s="6"/>
      <c r="Q58" s="6"/>
      <c r="R58" s="6"/>
      <c r="S58" s="12" t="s">
        <v>25</v>
      </c>
      <c r="T58" s="6"/>
      <c r="U58" s="6"/>
      <c r="V58" s="6"/>
      <c r="W58" s="6"/>
      <c r="X58" s="6"/>
      <c r="Y58" s="6"/>
    </row>
    <row r="59" spans="2:25" x14ac:dyDescent="0.35">
      <c r="B59" s="196" t="s">
        <v>197</v>
      </c>
      <c r="I59" s="197" t="s">
        <v>23</v>
      </c>
      <c r="J59" s="37">
        <f>J60-$L$52</f>
        <v>1.7470942028985501</v>
      </c>
      <c r="K59" s="198">
        <f t="shared" ref="K59:Q65" si="1">$C$40*K$56*(1-$C$50)-($C$18*$J59)-$C$32</f>
        <v>175.0668262400001</v>
      </c>
      <c r="L59" s="199">
        <f t="shared" si="1"/>
        <v>211.5694822400001</v>
      </c>
      <c r="M59" s="199">
        <f t="shared" si="1"/>
        <v>248.07213823999999</v>
      </c>
      <c r="N59" s="199">
        <f t="shared" si="1"/>
        <v>284.57479424000007</v>
      </c>
      <c r="O59" s="199">
        <f t="shared" si="1"/>
        <v>321.07745024000008</v>
      </c>
      <c r="P59" s="199">
        <f t="shared" si="1"/>
        <v>357.58010624000019</v>
      </c>
      <c r="Q59" s="200">
        <f t="shared" si="1"/>
        <v>394.08276224000019</v>
      </c>
      <c r="R59" s="6"/>
      <c r="S59" s="198">
        <f t="shared" ref="S59:Y65" si="2">K59-($C$54*($C$12/365)*(($C$18*$J59+(1-$C$50)*($C$40*K$56)+$C$32)/2))</f>
        <v>145.36575558400011</v>
      </c>
      <c r="T59" s="199">
        <f t="shared" si="2"/>
        <v>180.95584518400011</v>
      </c>
      <c r="U59" s="199">
        <f t="shared" si="2"/>
        <v>216.545934784</v>
      </c>
      <c r="V59" s="199">
        <f t="shared" si="2"/>
        <v>252.13602438400008</v>
      </c>
      <c r="W59" s="199">
        <f t="shared" si="2"/>
        <v>287.72611398400011</v>
      </c>
      <c r="X59" s="199">
        <f t="shared" si="2"/>
        <v>323.31620358400022</v>
      </c>
      <c r="Y59" s="200">
        <f t="shared" si="2"/>
        <v>358.90629318400022</v>
      </c>
    </row>
    <row r="60" spans="2:25" x14ac:dyDescent="0.35">
      <c r="B60" s="128" t="s">
        <v>145</v>
      </c>
      <c r="C60" s="201">
        <f>C16</f>
        <v>300</v>
      </c>
      <c r="J60" s="41">
        <f>J61-$L$52</f>
        <v>1.8470942028985502</v>
      </c>
      <c r="K60" s="202">
        <f t="shared" si="1"/>
        <v>147.46682624000007</v>
      </c>
      <c r="L60" s="203">
        <f t="shared" si="1"/>
        <v>183.96948224000008</v>
      </c>
      <c r="M60" s="203">
        <f t="shared" si="1"/>
        <v>220.47213823999996</v>
      </c>
      <c r="N60" s="203">
        <f t="shared" si="1"/>
        <v>256.97479424000005</v>
      </c>
      <c r="O60" s="203">
        <f t="shared" si="1"/>
        <v>293.47745024000005</v>
      </c>
      <c r="P60" s="203">
        <f t="shared" si="1"/>
        <v>329.98010624000017</v>
      </c>
      <c r="Q60" s="204">
        <f t="shared" si="1"/>
        <v>366.48276224000017</v>
      </c>
      <c r="R60" s="6"/>
      <c r="S60" s="202">
        <f t="shared" si="2"/>
        <v>117.07575558400008</v>
      </c>
      <c r="T60" s="203">
        <f t="shared" si="2"/>
        <v>152.66584518400009</v>
      </c>
      <c r="U60" s="203">
        <f t="shared" si="2"/>
        <v>188.25593478399998</v>
      </c>
      <c r="V60" s="203">
        <f t="shared" si="2"/>
        <v>223.84602438400006</v>
      </c>
      <c r="W60" s="203">
        <f t="shared" si="2"/>
        <v>259.43611398400003</v>
      </c>
      <c r="X60" s="203">
        <f t="shared" si="2"/>
        <v>295.0262035840002</v>
      </c>
      <c r="Y60" s="204">
        <f t="shared" si="2"/>
        <v>330.6162931840002</v>
      </c>
    </row>
    <row r="61" spans="2:25" x14ac:dyDescent="0.35">
      <c r="B61" s="128" t="s">
        <v>198</v>
      </c>
      <c r="C61" s="201">
        <f>C38</f>
        <v>413.3</v>
      </c>
      <c r="J61" s="41">
        <f>J62-$L$52</f>
        <v>1.9470942028985503</v>
      </c>
      <c r="K61" s="202">
        <f t="shared" si="1"/>
        <v>119.86682623999999</v>
      </c>
      <c r="L61" s="203">
        <f t="shared" si="1"/>
        <v>156.36948224</v>
      </c>
      <c r="M61" s="203">
        <f t="shared" si="1"/>
        <v>192.87213823999988</v>
      </c>
      <c r="N61" s="203">
        <f t="shared" si="1"/>
        <v>229.37479424</v>
      </c>
      <c r="O61" s="203">
        <f t="shared" si="1"/>
        <v>265.87745023999997</v>
      </c>
      <c r="P61" s="203">
        <f t="shared" si="1"/>
        <v>302.38010624000009</v>
      </c>
      <c r="Q61" s="204">
        <f t="shared" si="1"/>
        <v>338.88276224000009</v>
      </c>
      <c r="R61" s="6"/>
      <c r="S61" s="202">
        <f t="shared" si="2"/>
        <v>88.785755584</v>
      </c>
      <c r="T61" s="203">
        <f t="shared" si="2"/>
        <v>124.375845184</v>
      </c>
      <c r="U61" s="203">
        <f t="shared" si="2"/>
        <v>159.9659347839999</v>
      </c>
      <c r="V61" s="203">
        <f t="shared" si="2"/>
        <v>195.55602438400001</v>
      </c>
      <c r="W61" s="203">
        <f t="shared" si="2"/>
        <v>231.14611398399998</v>
      </c>
      <c r="X61" s="203">
        <f t="shared" si="2"/>
        <v>266.73620358400007</v>
      </c>
      <c r="Y61" s="204">
        <f t="shared" si="2"/>
        <v>302.32629318400006</v>
      </c>
    </row>
    <row r="62" spans="2:25" x14ac:dyDescent="0.35">
      <c r="B62" s="128" t="s">
        <v>199</v>
      </c>
      <c r="C62" s="201">
        <f>AVERAGE(C60:C61)</f>
        <v>356.65</v>
      </c>
      <c r="J62" s="41">
        <f>C25</f>
        <v>2.0470942028985504</v>
      </c>
      <c r="K62" s="205">
        <f t="shared" si="1"/>
        <v>92.266826239999972</v>
      </c>
      <c r="L62" s="206">
        <f t="shared" si="1"/>
        <v>128.76948223999997</v>
      </c>
      <c r="M62" s="206">
        <f t="shared" si="1"/>
        <v>165.27213823999986</v>
      </c>
      <c r="N62" s="207">
        <f t="shared" si="1"/>
        <v>201.77479423999998</v>
      </c>
      <c r="O62" s="206">
        <f t="shared" si="1"/>
        <v>238.27745023999998</v>
      </c>
      <c r="P62" s="206">
        <f t="shared" si="1"/>
        <v>274.78010624000007</v>
      </c>
      <c r="Q62" s="208">
        <f t="shared" si="1"/>
        <v>311.28276224000007</v>
      </c>
      <c r="R62" s="6"/>
      <c r="S62" s="205">
        <f t="shared" si="2"/>
        <v>60.49575558399998</v>
      </c>
      <c r="T62" s="206">
        <f t="shared" si="2"/>
        <v>96.085845183999965</v>
      </c>
      <c r="U62" s="206">
        <f t="shared" si="2"/>
        <v>131.67593478399988</v>
      </c>
      <c r="V62" s="207">
        <f t="shared" si="2"/>
        <v>167.26602438399999</v>
      </c>
      <c r="W62" s="206">
        <f t="shared" si="2"/>
        <v>202.85611398399999</v>
      </c>
      <c r="X62" s="206">
        <f t="shared" si="2"/>
        <v>238.44620358400007</v>
      </c>
      <c r="Y62" s="208">
        <f t="shared" si="2"/>
        <v>274.03629318400004</v>
      </c>
    </row>
    <row r="63" spans="2:25" x14ac:dyDescent="0.35">
      <c r="B63" s="128" t="s">
        <v>200</v>
      </c>
      <c r="C63" s="135">
        <v>455</v>
      </c>
      <c r="J63" s="41">
        <f>J62+$L$52</f>
        <v>2.1470942028985505</v>
      </c>
      <c r="K63" s="202">
        <f t="shared" si="1"/>
        <v>64.666826239999949</v>
      </c>
      <c r="L63" s="203">
        <f t="shared" si="1"/>
        <v>101.16948223999995</v>
      </c>
      <c r="M63" s="203">
        <f t="shared" si="1"/>
        <v>137.67213823999984</v>
      </c>
      <c r="N63" s="203">
        <f t="shared" si="1"/>
        <v>174.17479423999995</v>
      </c>
      <c r="O63" s="203">
        <f t="shared" si="1"/>
        <v>210.67745023999996</v>
      </c>
      <c r="P63" s="203">
        <f t="shared" si="1"/>
        <v>247.18010624000007</v>
      </c>
      <c r="Q63" s="204">
        <f t="shared" si="1"/>
        <v>283.68276224000005</v>
      </c>
      <c r="R63" s="6"/>
      <c r="S63" s="202">
        <f t="shared" si="2"/>
        <v>32.205755583999952</v>
      </c>
      <c r="T63" s="203">
        <f t="shared" si="2"/>
        <v>67.795845183999944</v>
      </c>
      <c r="U63" s="203">
        <f t="shared" si="2"/>
        <v>103.38593478399984</v>
      </c>
      <c r="V63" s="203">
        <f t="shared" si="2"/>
        <v>138.97602438399997</v>
      </c>
      <c r="W63" s="203">
        <f t="shared" si="2"/>
        <v>174.56611398399997</v>
      </c>
      <c r="X63" s="203">
        <f t="shared" si="2"/>
        <v>210.15620358400008</v>
      </c>
      <c r="Y63" s="204">
        <f t="shared" si="2"/>
        <v>245.74629318400005</v>
      </c>
    </row>
    <row r="64" spans="2:25" x14ac:dyDescent="0.35">
      <c r="B64" s="128" t="s">
        <v>201</v>
      </c>
      <c r="C64" s="209">
        <f>(C62/C63)*(C12/365)</f>
        <v>0.78384615384615375</v>
      </c>
      <c r="J64" s="41">
        <f>J63+$L$52</f>
        <v>2.2470942028985506</v>
      </c>
      <c r="K64" s="202">
        <f t="shared" si="1"/>
        <v>37.066826239999919</v>
      </c>
      <c r="L64" s="203">
        <f t="shared" si="1"/>
        <v>73.569482239999928</v>
      </c>
      <c r="M64" s="203">
        <f t="shared" si="1"/>
        <v>110.07213823999982</v>
      </c>
      <c r="N64" s="203">
        <f t="shared" si="1"/>
        <v>146.57479423999993</v>
      </c>
      <c r="O64" s="203">
        <f t="shared" si="1"/>
        <v>183.07745023999993</v>
      </c>
      <c r="P64" s="203">
        <f t="shared" si="1"/>
        <v>219.58010624000005</v>
      </c>
      <c r="Q64" s="204">
        <f t="shared" si="1"/>
        <v>256.08276224000002</v>
      </c>
      <c r="R64" s="6"/>
      <c r="S64" s="202">
        <f t="shared" si="2"/>
        <v>3.9157555839999247</v>
      </c>
      <c r="T64" s="203">
        <f t="shared" si="2"/>
        <v>39.505845183999931</v>
      </c>
      <c r="U64" s="203">
        <f t="shared" si="2"/>
        <v>75.095934783999809</v>
      </c>
      <c r="V64" s="203">
        <f t="shared" si="2"/>
        <v>110.68602438399992</v>
      </c>
      <c r="W64" s="203">
        <f t="shared" si="2"/>
        <v>146.27611398399995</v>
      </c>
      <c r="X64" s="203">
        <f t="shared" si="2"/>
        <v>181.86620358400006</v>
      </c>
      <c r="Y64" s="204">
        <f t="shared" si="2"/>
        <v>217.45629318400003</v>
      </c>
    </row>
    <row r="65" spans="2:25" x14ac:dyDescent="0.35">
      <c r="J65" s="49">
        <f>J64+$L$52</f>
        <v>2.3470942028985506</v>
      </c>
      <c r="K65" s="210">
        <f t="shared" si="1"/>
        <v>9.4668262399998966</v>
      </c>
      <c r="L65" s="211">
        <f t="shared" si="1"/>
        <v>45.969482239999898</v>
      </c>
      <c r="M65" s="211">
        <f t="shared" si="1"/>
        <v>82.472138239999794</v>
      </c>
      <c r="N65" s="211">
        <f t="shared" si="1"/>
        <v>118.97479423999991</v>
      </c>
      <c r="O65" s="211">
        <f t="shared" si="1"/>
        <v>155.47745023999991</v>
      </c>
      <c r="P65" s="211">
        <f t="shared" si="1"/>
        <v>191.98010624000003</v>
      </c>
      <c r="Q65" s="212">
        <f t="shared" si="1"/>
        <v>228.48276224000003</v>
      </c>
      <c r="R65" s="6"/>
      <c r="S65" s="210">
        <f t="shared" si="2"/>
        <v>-24.374244416000103</v>
      </c>
      <c r="T65" s="211">
        <f t="shared" si="2"/>
        <v>11.215845183999903</v>
      </c>
      <c r="U65" s="211">
        <f t="shared" si="2"/>
        <v>46.805934783999795</v>
      </c>
      <c r="V65" s="211">
        <f t="shared" si="2"/>
        <v>82.396024383999901</v>
      </c>
      <c r="W65" s="211">
        <f t="shared" si="2"/>
        <v>117.9861139839999</v>
      </c>
      <c r="X65" s="211">
        <f t="shared" si="2"/>
        <v>153.57620358400001</v>
      </c>
      <c r="Y65" s="212">
        <f t="shared" si="2"/>
        <v>189.16629318400004</v>
      </c>
    </row>
    <row r="66" spans="2:25" x14ac:dyDescent="0.35">
      <c r="B66" s="213" t="s">
        <v>202</v>
      </c>
      <c r="E66" s="213" t="s">
        <v>203</v>
      </c>
      <c r="J66" s="6"/>
      <c r="K66" s="6"/>
      <c r="L66" s="6"/>
      <c r="M66" s="6"/>
      <c r="N66" s="6"/>
      <c r="O66" s="6"/>
      <c r="P66" s="6"/>
      <c r="Q66" s="6"/>
      <c r="R66" s="6"/>
      <c r="S66" s="6"/>
      <c r="T66" s="6"/>
      <c r="U66" s="6"/>
      <c r="V66" s="6"/>
      <c r="W66" s="6"/>
      <c r="X66" s="6"/>
      <c r="Y66" s="6"/>
    </row>
    <row r="67" spans="2:25" x14ac:dyDescent="0.35">
      <c r="B67" s="130" t="s">
        <v>204</v>
      </c>
      <c r="C67" s="181">
        <f>C48*C51/C9</f>
        <v>791.0627942399999</v>
      </c>
      <c r="E67" s="130" t="s">
        <v>205</v>
      </c>
      <c r="F67" s="181">
        <f>C67*C51</f>
        <v>759.42028247039991</v>
      </c>
      <c r="J67" s="28"/>
      <c r="K67" s="12" t="s">
        <v>26</v>
      </c>
      <c r="L67" s="6"/>
      <c r="M67" s="6"/>
      <c r="N67" s="6"/>
      <c r="O67" s="6"/>
      <c r="P67" s="6"/>
      <c r="Q67" s="6"/>
      <c r="R67" s="6"/>
      <c r="S67" s="12" t="s">
        <v>27</v>
      </c>
      <c r="T67" s="6"/>
      <c r="U67" s="6"/>
      <c r="V67" s="6"/>
      <c r="W67" s="6"/>
      <c r="X67" s="6"/>
      <c r="Y67" s="6"/>
    </row>
    <row r="68" spans="2:25" x14ac:dyDescent="0.35">
      <c r="B68" s="130" t="s">
        <v>206</v>
      </c>
      <c r="C68" s="181">
        <f>C33</f>
        <v>589.2879999999999</v>
      </c>
      <c r="E68" s="130" t="s">
        <v>207</v>
      </c>
      <c r="F68" s="181">
        <f>C68*C9</f>
        <v>589.2879999999999</v>
      </c>
      <c r="J68" s="37">
        <f t="shared" ref="J68:J74" si="3">J59</f>
        <v>1.7470942028985501</v>
      </c>
      <c r="K68" s="198">
        <f>IF($C$64&lt;=0,0,K59/$C$64)</f>
        <v>223.34335045338582</v>
      </c>
      <c r="L68" s="199">
        <f t="shared" ref="L68:Q68" si="4">IF($C$64&lt;=0,0,L59/$C$64)</f>
        <v>269.91199893228674</v>
      </c>
      <c r="M68" s="199">
        <f t="shared" si="4"/>
        <v>316.48064741118748</v>
      </c>
      <c r="N68" s="199">
        <f t="shared" si="4"/>
        <v>363.04929589008844</v>
      </c>
      <c r="O68" s="199">
        <f t="shared" si="4"/>
        <v>409.61794436898936</v>
      </c>
      <c r="P68" s="199">
        <f t="shared" si="4"/>
        <v>456.18659284789038</v>
      </c>
      <c r="Q68" s="200">
        <f t="shared" si="4"/>
        <v>502.75524132679129</v>
      </c>
      <c r="R68" s="6"/>
      <c r="S68" s="198">
        <f>IF($C$64&lt;=0,0,S59/$C$64)</f>
        <v>185.4518962308147</v>
      </c>
      <c r="T68" s="199">
        <f t="shared" ref="T68:Y68" si="5">IF($C$64&lt;=0,0,T59/$C$64)</f>
        <v>230.85632849774305</v>
      </c>
      <c r="U68" s="199">
        <f t="shared" si="5"/>
        <v>276.26076076467126</v>
      </c>
      <c r="V68" s="199">
        <f t="shared" si="5"/>
        <v>321.66519303159976</v>
      </c>
      <c r="W68" s="199">
        <f t="shared" si="5"/>
        <v>367.06962529852814</v>
      </c>
      <c r="X68" s="199">
        <f t="shared" si="5"/>
        <v>412.47405756545669</v>
      </c>
      <c r="Y68" s="200">
        <f t="shared" si="5"/>
        <v>457.87848983238501</v>
      </c>
    </row>
    <row r="69" spans="2:25" x14ac:dyDescent="0.35">
      <c r="B69" s="130" t="s">
        <v>208</v>
      </c>
      <c r="C69" s="181">
        <f>C68+C57</f>
        <v>625.632276377739</v>
      </c>
      <c r="E69" s="130" t="s">
        <v>209</v>
      </c>
      <c r="F69" s="181">
        <f>F68+F57</f>
        <v>625.632276377739</v>
      </c>
      <c r="J69" s="41">
        <f t="shared" si="3"/>
        <v>1.8470942028985502</v>
      </c>
      <c r="K69" s="202">
        <f t="shared" ref="K69:Q74" si="6">IF($C$64&lt;=0,0,K60/$C$64)</f>
        <v>188.13235928557421</v>
      </c>
      <c r="L69" s="203">
        <f t="shared" si="6"/>
        <v>234.70100776447509</v>
      </c>
      <c r="M69" s="203">
        <f t="shared" si="6"/>
        <v>281.26965624337583</v>
      </c>
      <c r="N69" s="203">
        <f t="shared" si="6"/>
        <v>327.83830472227686</v>
      </c>
      <c r="O69" s="203">
        <f t="shared" si="6"/>
        <v>374.40695320117771</v>
      </c>
      <c r="P69" s="203">
        <f t="shared" si="6"/>
        <v>420.9756016800788</v>
      </c>
      <c r="Q69" s="204">
        <f t="shared" si="6"/>
        <v>467.54425015897965</v>
      </c>
      <c r="R69" s="6"/>
      <c r="S69" s="202">
        <f t="shared" ref="S69:Y74" si="7">IF($C$64&lt;=0,0,S60/$C$64)</f>
        <v>149.36063028380778</v>
      </c>
      <c r="T69" s="203">
        <f t="shared" si="7"/>
        <v>194.76506255073616</v>
      </c>
      <c r="U69" s="203">
        <f t="shared" si="7"/>
        <v>240.16949481766437</v>
      </c>
      <c r="V69" s="203">
        <f t="shared" si="7"/>
        <v>285.57392708459287</v>
      </c>
      <c r="W69" s="203">
        <f t="shared" si="7"/>
        <v>330.97835935152119</v>
      </c>
      <c r="X69" s="203">
        <f t="shared" si="7"/>
        <v>376.38279161844974</v>
      </c>
      <c r="Y69" s="204">
        <f t="shared" si="7"/>
        <v>421.78722388537813</v>
      </c>
    </row>
    <row r="70" spans="2:25" x14ac:dyDescent="0.35">
      <c r="C70" s="128"/>
      <c r="F70" s="181"/>
      <c r="J70" s="41">
        <f t="shared" si="3"/>
        <v>1.9470942028985503</v>
      </c>
      <c r="K70" s="202">
        <f t="shared" si="6"/>
        <v>152.92136811776251</v>
      </c>
      <c r="L70" s="203">
        <f t="shared" si="6"/>
        <v>199.49001659666342</v>
      </c>
      <c r="M70" s="203">
        <f t="shared" si="6"/>
        <v>246.05866507556416</v>
      </c>
      <c r="N70" s="203">
        <f t="shared" si="6"/>
        <v>292.62731355446522</v>
      </c>
      <c r="O70" s="203">
        <f t="shared" si="6"/>
        <v>339.19596203336607</v>
      </c>
      <c r="P70" s="203">
        <f t="shared" si="6"/>
        <v>385.7646105122671</v>
      </c>
      <c r="Q70" s="204">
        <f t="shared" si="6"/>
        <v>432.33325899116801</v>
      </c>
      <c r="R70" s="6"/>
      <c r="S70" s="202">
        <f t="shared" si="7"/>
        <v>113.26936433680081</v>
      </c>
      <c r="T70" s="203">
        <f t="shared" si="7"/>
        <v>158.67379660372916</v>
      </c>
      <c r="U70" s="203">
        <f t="shared" si="7"/>
        <v>204.0782288706574</v>
      </c>
      <c r="V70" s="203">
        <f t="shared" si="7"/>
        <v>249.48266113758592</v>
      </c>
      <c r="W70" s="203">
        <f t="shared" si="7"/>
        <v>294.88709340451425</v>
      </c>
      <c r="X70" s="203">
        <f t="shared" si="7"/>
        <v>340.29152567144274</v>
      </c>
      <c r="Y70" s="204">
        <f t="shared" si="7"/>
        <v>385.69595793837107</v>
      </c>
    </row>
    <row r="71" spans="2:25" x14ac:dyDescent="0.35">
      <c r="B71" s="196" t="s">
        <v>210</v>
      </c>
      <c r="C71" s="214"/>
      <c r="E71" s="196" t="s">
        <v>210</v>
      </c>
      <c r="F71" s="181"/>
      <c r="J71" s="41">
        <f t="shared" si="3"/>
        <v>2.0470942028985504</v>
      </c>
      <c r="K71" s="205">
        <f t="shared" si="6"/>
        <v>117.71037694995091</v>
      </c>
      <c r="L71" s="206">
        <f t="shared" si="6"/>
        <v>164.27902542885181</v>
      </c>
      <c r="M71" s="206">
        <f t="shared" si="6"/>
        <v>210.84767390775255</v>
      </c>
      <c r="N71" s="207">
        <f t="shared" si="6"/>
        <v>257.41632238665358</v>
      </c>
      <c r="O71" s="206">
        <f t="shared" si="6"/>
        <v>303.98497086555449</v>
      </c>
      <c r="P71" s="206">
        <f t="shared" si="6"/>
        <v>350.55361934445546</v>
      </c>
      <c r="Q71" s="208">
        <f t="shared" si="6"/>
        <v>397.12226782335637</v>
      </c>
      <c r="R71" s="6"/>
      <c r="S71" s="205">
        <f t="shared" si="7"/>
        <v>77.178098389793902</v>
      </c>
      <c r="T71" s="206">
        <f t="shared" si="7"/>
        <v>122.58253065672224</v>
      </c>
      <c r="U71" s="206">
        <f t="shared" si="7"/>
        <v>167.98696292365051</v>
      </c>
      <c r="V71" s="207">
        <f t="shared" si="7"/>
        <v>213.391395190579</v>
      </c>
      <c r="W71" s="206">
        <f t="shared" si="7"/>
        <v>258.79582745750736</v>
      </c>
      <c r="X71" s="206">
        <f t="shared" si="7"/>
        <v>304.20025972443585</v>
      </c>
      <c r="Y71" s="208">
        <f t="shared" si="7"/>
        <v>349.60469199136418</v>
      </c>
    </row>
    <row r="72" spans="2:25" x14ac:dyDescent="0.35">
      <c r="B72" s="130" t="s">
        <v>211</v>
      </c>
      <c r="C72" s="148">
        <f>C67-C68</f>
        <v>201.77479424000001</v>
      </c>
      <c r="E72" s="130" t="s">
        <v>212</v>
      </c>
      <c r="F72" s="181">
        <f>C72*C9</f>
        <v>201.77479424000001</v>
      </c>
      <c r="J72" s="41">
        <f t="shared" si="3"/>
        <v>2.1470942028985505</v>
      </c>
      <c r="K72" s="202">
        <f t="shared" si="6"/>
        <v>82.499385782139299</v>
      </c>
      <c r="L72" s="203">
        <f t="shared" si="6"/>
        <v>129.0680342610402</v>
      </c>
      <c r="M72" s="203">
        <f t="shared" si="6"/>
        <v>175.63668273994094</v>
      </c>
      <c r="N72" s="203">
        <f t="shared" si="6"/>
        <v>222.20533121884196</v>
      </c>
      <c r="O72" s="203">
        <f t="shared" si="6"/>
        <v>268.77397969774285</v>
      </c>
      <c r="P72" s="203">
        <f t="shared" si="6"/>
        <v>315.34262817664393</v>
      </c>
      <c r="Q72" s="204">
        <f t="shared" si="6"/>
        <v>361.91127665554478</v>
      </c>
      <c r="R72" s="6"/>
      <c r="S72" s="202">
        <f t="shared" si="7"/>
        <v>41.086832442786992</v>
      </c>
      <c r="T72" s="203">
        <f t="shared" si="7"/>
        <v>86.491264709715352</v>
      </c>
      <c r="U72" s="203">
        <f t="shared" si="7"/>
        <v>131.89569697664359</v>
      </c>
      <c r="V72" s="203">
        <f t="shared" si="7"/>
        <v>177.30012924357212</v>
      </c>
      <c r="W72" s="203">
        <f t="shared" si="7"/>
        <v>222.70456151050047</v>
      </c>
      <c r="X72" s="203">
        <f t="shared" si="7"/>
        <v>268.10899377742896</v>
      </c>
      <c r="Y72" s="204">
        <f t="shared" si="7"/>
        <v>313.51342604435735</v>
      </c>
    </row>
    <row r="73" spans="2:25" x14ac:dyDescent="0.35">
      <c r="B73" s="130" t="s">
        <v>213</v>
      </c>
      <c r="C73" s="148">
        <f>C72/C64</f>
        <v>257.41632238665363</v>
      </c>
      <c r="E73" s="130"/>
      <c r="F73" s="181"/>
      <c r="J73" s="41">
        <f t="shared" si="3"/>
        <v>2.2470942028985506</v>
      </c>
      <c r="K73" s="202">
        <f t="shared" si="6"/>
        <v>47.288394614327679</v>
      </c>
      <c r="L73" s="203">
        <f t="shared" si="6"/>
        <v>93.857043093228569</v>
      </c>
      <c r="M73" s="203">
        <f t="shared" si="6"/>
        <v>140.42569157212932</v>
      </c>
      <c r="N73" s="203">
        <f t="shared" si="6"/>
        <v>186.99434005103035</v>
      </c>
      <c r="O73" s="203">
        <f t="shared" si="6"/>
        <v>233.56298852993126</v>
      </c>
      <c r="P73" s="203">
        <f t="shared" si="6"/>
        <v>280.13163700883229</v>
      </c>
      <c r="Q73" s="204">
        <f t="shared" si="6"/>
        <v>326.70028548773314</v>
      </c>
      <c r="R73" s="6"/>
      <c r="S73" s="202">
        <f t="shared" si="7"/>
        <v>4.9955664957800812</v>
      </c>
      <c r="T73" s="203">
        <f t="shared" si="7"/>
        <v>50.399998762708456</v>
      </c>
      <c r="U73" s="203">
        <f t="shared" si="7"/>
        <v>95.80443102963666</v>
      </c>
      <c r="V73" s="203">
        <f t="shared" si="7"/>
        <v>141.20886329656517</v>
      </c>
      <c r="W73" s="203">
        <f t="shared" si="7"/>
        <v>186.61329556349358</v>
      </c>
      <c r="X73" s="203">
        <f t="shared" si="7"/>
        <v>232.0177278304221</v>
      </c>
      <c r="Y73" s="204">
        <f t="shared" si="7"/>
        <v>277.4221600973504</v>
      </c>
    </row>
    <row r="74" spans="2:25" x14ac:dyDescent="0.35">
      <c r="B74" s="180" t="s">
        <v>214</v>
      </c>
      <c r="C74" s="215">
        <f>IF(C12&lt;=0,0,$C$72/(($C$12/365)*(($C$18*$C$25+(1-$C$50)*($C$40*$C$49)+$C$32)/2)))</f>
        <v>0.29235292228899562</v>
      </c>
      <c r="E74" s="180"/>
      <c r="F74" s="216"/>
      <c r="J74" s="49">
        <f t="shared" si="3"/>
        <v>2.3470942028985506</v>
      </c>
      <c r="K74" s="210">
        <f t="shared" si="6"/>
        <v>12.077403446516062</v>
      </c>
      <c r="L74" s="211">
        <f t="shared" si="6"/>
        <v>58.646051925416955</v>
      </c>
      <c r="M74" s="211">
        <f t="shared" si="6"/>
        <v>105.21470040431771</v>
      </c>
      <c r="N74" s="211">
        <f t="shared" si="6"/>
        <v>151.78334888321874</v>
      </c>
      <c r="O74" s="211">
        <f t="shared" si="6"/>
        <v>198.35199736211965</v>
      </c>
      <c r="P74" s="211">
        <f t="shared" si="6"/>
        <v>244.92064584102067</v>
      </c>
      <c r="Q74" s="212">
        <f t="shared" si="6"/>
        <v>291.48929431992156</v>
      </c>
      <c r="R74" s="6"/>
      <c r="S74" s="210">
        <f t="shared" si="7"/>
        <v>-31.095699451226828</v>
      </c>
      <c r="T74" s="211">
        <f t="shared" si="7"/>
        <v>14.308732815701546</v>
      </c>
      <c r="U74" s="211">
        <f t="shared" si="7"/>
        <v>59.713165082629779</v>
      </c>
      <c r="V74" s="211">
        <f t="shared" si="7"/>
        <v>105.11759734955828</v>
      </c>
      <c r="W74" s="211">
        <f t="shared" si="7"/>
        <v>150.52202961648663</v>
      </c>
      <c r="X74" s="211">
        <f t="shared" si="7"/>
        <v>195.92646188341516</v>
      </c>
      <c r="Y74" s="212">
        <f t="shared" si="7"/>
        <v>241.33089415034357</v>
      </c>
    </row>
    <row r="75" spans="2:25" x14ac:dyDescent="0.35">
      <c r="B75" s="130"/>
      <c r="C75" s="170"/>
      <c r="E75" s="180"/>
      <c r="F75" s="217"/>
      <c r="J75" s="6"/>
      <c r="K75" s="6"/>
      <c r="L75" s="6"/>
      <c r="M75" s="6"/>
      <c r="N75" s="6"/>
      <c r="O75" s="6"/>
      <c r="P75" s="6"/>
      <c r="Q75" s="6"/>
      <c r="R75" s="6"/>
      <c r="S75" s="6"/>
      <c r="T75" s="6"/>
      <c r="U75" s="6"/>
      <c r="V75" s="6"/>
      <c r="W75" s="6"/>
      <c r="X75" s="6"/>
      <c r="Y75" s="6"/>
    </row>
    <row r="76" spans="2:25" x14ac:dyDescent="0.35">
      <c r="B76" s="196" t="s">
        <v>215</v>
      </c>
      <c r="C76" s="128"/>
      <c r="E76" s="196" t="s">
        <v>215</v>
      </c>
      <c r="F76" s="170"/>
      <c r="J76" s="28"/>
      <c r="K76" s="53" t="s">
        <v>216</v>
      </c>
      <c r="L76" s="28"/>
      <c r="M76" s="28"/>
      <c r="N76" s="28"/>
      <c r="O76" s="28"/>
      <c r="P76" s="28"/>
      <c r="Q76" s="28"/>
      <c r="R76" s="6"/>
      <c r="S76" s="129"/>
      <c r="T76" s="129"/>
      <c r="U76" s="129"/>
      <c r="V76" s="129"/>
      <c r="W76" s="129"/>
      <c r="X76" s="129"/>
      <c r="Y76" s="129"/>
    </row>
    <row r="77" spans="2:25" x14ac:dyDescent="0.35">
      <c r="B77" s="130" t="s">
        <v>217</v>
      </c>
      <c r="C77" s="218">
        <f>V62</f>
        <v>167.26602438399999</v>
      </c>
      <c r="E77" s="130" t="s">
        <v>218</v>
      </c>
      <c r="F77" s="181">
        <f>C77*C51</f>
        <v>160.57538340863999</v>
      </c>
      <c r="J77" s="37">
        <f t="shared" ref="J77:J83" si="8">J68</f>
        <v>1.7470942028985501</v>
      </c>
      <c r="K77" s="54">
        <f t="shared" ref="K77:Q83" si="9">IF($C$12&lt;=0,0,K59/(($C$12/365)*(($C$18*$J77+(1-$C$50)*($C$40*K$56)+$C$32)/2)))</f>
        <v>0.294714672524161</v>
      </c>
      <c r="L77" s="55">
        <f t="shared" si="9"/>
        <v>0.34554777312637935</v>
      </c>
      <c r="M77" s="55">
        <f t="shared" si="9"/>
        <v>0.39343801512006593</v>
      </c>
      <c r="N77" s="55">
        <f t="shared" si="9"/>
        <v>0.43863376370815749</v>
      </c>
      <c r="O77" s="55">
        <f t="shared" si="9"/>
        <v>0.48135620080625319</v>
      </c>
      <c r="P77" s="55">
        <f t="shared" si="9"/>
        <v>0.52180294496806823</v>
      </c>
      <c r="Q77" s="56">
        <f t="shared" si="9"/>
        <v>0.56015110785086331</v>
      </c>
      <c r="R77" s="6"/>
      <c r="S77" s="129"/>
      <c r="T77" s="129"/>
      <c r="U77" s="129"/>
      <c r="V77" s="129"/>
      <c r="W77" s="129"/>
      <c r="X77" s="129"/>
      <c r="Y77" s="129"/>
    </row>
    <row r="78" spans="2:25" x14ac:dyDescent="0.35">
      <c r="B78" s="130" t="s">
        <v>219</v>
      </c>
      <c r="C78" s="148">
        <f>V71</f>
        <v>213.391395190579</v>
      </c>
      <c r="E78" s="130"/>
      <c r="F78" s="181"/>
      <c r="J78" s="41">
        <f t="shared" si="8"/>
        <v>1.8470942028985502</v>
      </c>
      <c r="K78" s="60">
        <f t="shared" si="9"/>
        <v>0.24261538513926337</v>
      </c>
      <c r="L78" s="61">
        <f t="shared" si="9"/>
        <v>0.293846817082136</v>
      </c>
      <c r="M78" s="61">
        <f t="shared" si="9"/>
        <v>0.3421758534352361</v>
      </c>
      <c r="N78" s="61">
        <f t="shared" si="9"/>
        <v>0.38784234270844659</v>
      </c>
      <c r="O78" s="61">
        <f t="shared" si="9"/>
        <v>0.43106041436354142</v>
      </c>
      <c r="P78" s="61">
        <f t="shared" si="9"/>
        <v>0.47202183614160403</v>
      </c>
      <c r="Q78" s="62">
        <f t="shared" si="9"/>
        <v>0.51089885885866482</v>
      </c>
      <c r="R78" s="6"/>
      <c r="S78" s="129"/>
      <c r="T78" s="129"/>
      <c r="U78" s="129"/>
      <c r="V78" s="129"/>
      <c r="W78" s="129"/>
      <c r="X78" s="129"/>
      <c r="Y78" s="129"/>
    </row>
    <row r="79" spans="2:25" x14ac:dyDescent="0.35">
      <c r="C79" s="130"/>
      <c r="D79" s="173"/>
      <c r="J79" s="41">
        <f t="shared" si="8"/>
        <v>1.9470942028985503</v>
      </c>
      <c r="K79" s="60">
        <f t="shared" si="9"/>
        <v>0.19282930689014166</v>
      </c>
      <c r="L79" s="61">
        <f t="shared" si="9"/>
        <v>0.24437590819433722</v>
      </c>
      <c r="M79" s="61">
        <f t="shared" si="9"/>
        <v>0.29306349256895559</v>
      </c>
      <c r="N79" s="61">
        <f t="shared" si="9"/>
        <v>0.33912350333361579</v>
      </c>
      <c r="O79" s="61">
        <f t="shared" si="9"/>
        <v>0.38276305910065356</v>
      </c>
      <c r="P79" s="61">
        <f t="shared" si="9"/>
        <v>0.42416806761913306</v>
      </c>
      <c r="Q79" s="62">
        <f t="shared" si="9"/>
        <v>0.4635058732298154</v>
      </c>
      <c r="R79" s="6"/>
      <c r="S79" s="129"/>
      <c r="T79" s="129"/>
      <c r="U79" s="129"/>
      <c r="V79" s="129"/>
      <c r="W79" s="129"/>
      <c r="X79" s="129"/>
      <c r="Y79" s="129"/>
    </row>
    <row r="80" spans="2:25" x14ac:dyDescent="0.35">
      <c r="C80" s="130"/>
      <c r="D80" s="170"/>
      <c r="J80" s="41">
        <f t="shared" si="8"/>
        <v>2.0470942028985504</v>
      </c>
      <c r="K80" s="66">
        <f t="shared" si="9"/>
        <v>0.14520572384704211</v>
      </c>
      <c r="L80" s="67">
        <f t="shared" si="9"/>
        <v>0.19699380766492866</v>
      </c>
      <c r="M80" s="67">
        <f t="shared" si="9"/>
        <v>0.24596847446833117</v>
      </c>
      <c r="N80" s="219">
        <f t="shared" si="9"/>
        <v>0.29235292228899556</v>
      </c>
      <c r="O80" s="67">
        <f t="shared" si="9"/>
        <v>0.3363473479909137</v>
      </c>
      <c r="P80" s="67">
        <f t="shared" si="9"/>
        <v>0.37813183576995169</v>
      </c>
      <c r="Q80" s="69">
        <f t="shared" si="9"/>
        <v>0.41786882103104456</v>
      </c>
      <c r="R80" s="6"/>
      <c r="S80" s="129"/>
      <c r="T80" s="129"/>
      <c r="U80" s="129"/>
      <c r="V80" s="129"/>
      <c r="W80" s="129"/>
      <c r="X80" s="129"/>
      <c r="Y80" s="129"/>
    </row>
    <row r="81" spans="2:25" x14ac:dyDescent="0.35">
      <c r="B81" s="142"/>
      <c r="C81" s="170"/>
      <c r="D81" s="173"/>
      <c r="J81" s="41">
        <f t="shared" si="8"/>
        <v>2.1470942028985505</v>
      </c>
      <c r="K81" s="60">
        <f t="shared" si="9"/>
        <v>9.9606736520329711E-2</v>
      </c>
      <c r="L81" s="61">
        <f t="shared" si="9"/>
        <v>0.1515709571453667</v>
      </c>
      <c r="M81" s="61">
        <f t="shared" si="9"/>
        <v>0.20076900380159704</v>
      </c>
      <c r="N81" s="61">
        <f t="shared" si="9"/>
        <v>0.24741602469711033</v>
      </c>
      <c r="O81" s="61">
        <f t="shared" si="9"/>
        <v>0.29170542007427841</v>
      </c>
      <c r="P81" s="61">
        <f t="shared" si="9"/>
        <v>0.33381152243271511</v>
      </c>
      <c r="Q81" s="62">
        <f t="shared" si="9"/>
        <v>0.37389188991368849</v>
      </c>
      <c r="R81" s="6"/>
      <c r="S81" s="129"/>
      <c r="T81" s="129"/>
      <c r="U81" s="129"/>
      <c r="V81" s="129"/>
      <c r="W81" s="129"/>
      <c r="X81" s="129"/>
      <c r="Y81" s="129"/>
    </row>
    <row r="82" spans="2:25" x14ac:dyDescent="0.35">
      <c r="D82" s="6"/>
      <c r="J82" s="41">
        <f t="shared" si="8"/>
        <v>2.2470942028985506</v>
      </c>
      <c r="K82" s="60">
        <f t="shared" si="9"/>
        <v>5.5905926274045108E-2</v>
      </c>
      <c r="L82" s="61">
        <f t="shared" si="9"/>
        <v>0.10798829572874595</v>
      </c>
      <c r="M82" s="61">
        <f t="shared" si="9"/>
        <v>0.15735289620337206</v>
      </c>
      <c r="N82" s="61">
        <f t="shared" si="9"/>
        <v>0.20420704697892436</v>
      </c>
      <c r="O82" s="61">
        <f t="shared" si="9"/>
        <v>0.2487375036689754</v>
      </c>
      <c r="P82" s="61">
        <f t="shared" si="9"/>
        <v>0.29111294612341915</v>
      </c>
      <c r="Q82" s="62">
        <f t="shared" si="9"/>
        <v>0.33148611366565189</v>
      </c>
      <c r="R82" s="6"/>
      <c r="S82" s="129"/>
      <c r="T82" s="129"/>
      <c r="U82" s="129"/>
      <c r="V82" s="129"/>
      <c r="W82" s="129"/>
      <c r="X82" s="129"/>
      <c r="Y82" s="129"/>
    </row>
    <row r="83" spans="2:25" x14ac:dyDescent="0.35">
      <c r="D83" s="6"/>
      <c r="J83" s="49">
        <f t="shared" si="8"/>
        <v>2.3470942028985506</v>
      </c>
      <c r="K83" s="70">
        <f t="shared" si="9"/>
        <v>1.3987184885832556E-2</v>
      </c>
      <c r="L83" s="71">
        <f t="shared" si="9"/>
        <v>6.6136217866819724E-2</v>
      </c>
      <c r="M83" s="71">
        <f t="shared" si="9"/>
        <v>0.11561664860368788</v>
      </c>
      <c r="N83" s="71">
        <f t="shared" si="9"/>
        <v>0.16262820579856724</v>
      </c>
      <c r="O83" s="71">
        <f t="shared" si="9"/>
        <v>0.20735117198592484</v>
      </c>
      <c r="P83" s="71">
        <f t="shared" si="9"/>
        <v>0.24994869396431793</v>
      </c>
      <c r="Q83" s="72">
        <f t="shared" si="9"/>
        <v>0.29056877146643434</v>
      </c>
      <c r="R83" s="6"/>
      <c r="S83" s="129"/>
      <c r="T83" s="129"/>
      <c r="U83" s="129"/>
      <c r="V83" s="129"/>
      <c r="W83" s="129"/>
      <c r="X83" s="129"/>
      <c r="Y83" s="129"/>
    </row>
    <row r="84" spans="2:25" x14ac:dyDescent="0.35">
      <c r="B84" s="6"/>
      <c r="C84" s="6"/>
      <c r="D84" s="6"/>
    </row>
    <row r="85" spans="2:25" x14ac:dyDescent="0.35">
      <c r="B85" s="6"/>
      <c r="C85" s="6"/>
      <c r="D85" s="28"/>
    </row>
    <row r="86" spans="2:25" x14ac:dyDescent="0.35">
      <c r="D86" s="129"/>
      <c r="E86" s="129"/>
    </row>
    <row r="87" spans="2:25" x14ac:dyDescent="0.35">
      <c r="D87" s="129"/>
      <c r="E87" s="129"/>
    </row>
    <row r="88" spans="2:25" x14ac:dyDescent="0.35">
      <c r="D88" s="129"/>
      <c r="E88" s="129"/>
    </row>
    <row r="89" spans="2:25" x14ac:dyDescent="0.35">
      <c r="D89" s="129"/>
      <c r="E89" s="129"/>
    </row>
    <row r="90" spans="2:25" x14ac:dyDescent="0.35">
      <c r="D90" s="129"/>
      <c r="E90" s="129"/>
    </row>
    <row r="91" spans="2:25" x14ac:dyDescent="0.35">
      <c r="D91" s="6"/>
    </row>
    <row r="92" spans="2:25" x14ac:dyDescent="0.35">
      <c r="D92" s="6"/>
    </row>
    <row r="93" spans="2:25" x14ac:dyDescent="0.35">
      <c r="D93" s="6"/>
    </row>
    <row r="94" spans="2:25" x14ac:dyDescent="0.35">
      <c r="D94" s="6"/>
    </row>
    <row r="95" spans="2:25" x14ac:dyDescent="0.35">
      <c r="D95" s="6"/>
    </row>
    <row r="96" spans="2:25" x14ac:dyDescent="0.35">
      <c r="D96" s="6"/>
    </row>
    <row r="97" spans="4:4" x14ac:dyDescent="0.35">
      <c r="D97" s="6"/>
    </row>
    <row r="98" spans="4:4" x14ac:dyDescent="0.35">
      <c r="D98" s="6"/>
    </row>
    <row r="99" spans="4:4" x14ac:dyDescent="0.35">
      <c r="D99" s="6"/>
    </row>
    <row r="100" spans="4:4" x14ac:dyDescent="0.35">
      <c r="D100" s="6"/>
    </row>
    <row r="101" spans="4:4" x14ac:dyDescent="0.35">
      <c r="D101" s="6"/>
    </row>
    <row r="102" spans="4:4" x14ac:dyDescent="0.35">
      <c r="D102" s="6"/>
    </row>
    <row r="103" spans="4:4" x14ac:dyDescent="0.35">
      <c r="D103" s="6"/>
    </row>
    <row r="104" spans="4:4" x14ac:dyDescent="0.35">
      <c r="D104" s="6"/>
    </row>
    <row r="105" spans="4:4" x14ac:dyDescent="0.35">
      <c r="D105" s="6"/>
    </row>
    <row r="106" spans="4:4" x14ac:dyDescent="0.35">
      <c r="D106" s="6"/>
    </row>
    <row r="107" spans="4:4" x14ac:dyDescent="0.35">
      <c r="D107" s="6"/>
    </row>
    <row r="108" spans="4:4" x14ac:dyDescent="0.35">
      <c r="D108" s="6"/>
    </row>
    <row r="109" spans="4:4" x14ac:dyDescent="0.35">
      <c r="D109" s="6"/>
    </row>
    <row r="110" spans="4:4" x14ac:dyDescent="0.35">
      <c r="D110" s="6"/>
    </row>
    <row r="111" spans="4:4" x14ac:dyDescent="0.35">
      <c r="D111" s="6"/>
    </row>
    <row r="112" spans="4:4" x14ac:dyDescent="0.35">
      <c r="D112" s="6"/>
    </row>
    <row r="113" spans="4:4" x14ac:dyDescent="0.35">
      <c r="D113" s="6"/>
    </row>
    <row r="114" spans="4:4" x14ac:dyDescent="0.35">
      <c r="D114" s="6"/>
    </row>
  </sheetData>
  <mergeCells count="3">
    <mergeCell ref="B1:F1"/>
    <mergeCell ref="B2:F2"/>
    <mergeCell ref="B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Bullocks</vt:lpstr>
      <vt:lpstr>Notes</vt:lpstr>
      <vt:lpstr>Dry cattle retain</vt:lpstr>
      <vt:lpstr>HOME</vt:lpstr>
      <vt:lpstr>Bullocks!Print_Area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CHUDLEIGH Fred</dc:creator>
  <cp:lastModifiedBy>WARD Jodie</cp:lastModifiedBy>
  <cp:lastPrinted>2019-10-29T03:10:08Z</cp:lastPrinted>
  <dcterms:created xsi:type="dcterms:W3CDTF">2011-05-19T09:54:04Z</dcterms:created>
  <dcterms:modified xsi:type="dcterms:W3CDTF">2019-10-29T03:10:38Z</dcterms:modified>
</cp:coreProperties>
</file>