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wardj3\Desktop\Marees\"/>
    </mc:Choice>
  </mc:AlternateContent>
  <bookViews>
    <workbookView xWindow="0" yWindow="0" windowWidth="20500" windowHeight="7020" firstSheet="2" activeTab="5"/>
  </bookViews>
  <sheets>
    <sheet name="Growth path" sheetId="11" r:id="rId1"/>
    <sheet name="Supplement cost" sheetId="12" r:id="rId2"/>
    <sheet name="AECalc" sheetId="6" r:id="rId3"/>
    <sheet name="Prices" sheetId="5" r:id="rId4"/>
    <sheet name="Huscosts" sheetId="4" r:id="rId5"/>
    <sheet name="Breedcow" sheetId="7" r:id="rId6"/>
    <sheet name="Comments" sheetId="10" r:id="rId7"/>
    <sheet name="WeanCalc" sheetId="9" r:id="rId8"/>
    <sheet name="PregTest" sheetId="8" r:id="rId9"/>
  </sheets>
  <definedNames>
    <definedName name="HOME_AECALC">AECalc!$B$1</definedName>
    <definedName name="HOME_BREEDCOW">Breedcow!$B$1</definedName>
    <definedName name="HOME_HUSCOSTS" localSheetId="8">#REF!</definedName>
    <definedName name="HOME_HUSCOSTS" localSheetId="7">#REF!</definedName>
    <definedName name="HOME_HUSCOSTS">Huscosts!$B$1</definedName>
    <definedName name="HOME_PRICES">Prices!$B$1</definedName>
    <definedName name="PRICES_COMPUTED_BY_BREAKEVEN">Breedcow!$B$193</definedName>
    <definedName name="SECTION_A">Breedcow!$B$6</definedName>
    <definedName name="SECTION_B">Breedcow!$B$25</definedName>
    <definedName name="SECTION_C">Breedcow!$B$36</definedName>
    <definedName name="SECTION_D">Breedcow!$B$51</definedName>
    <definedName name="SECTION_E">Breedcow!$B$65</definedName>
    <definedName name="SECTION_F">Breedcow!$B$102</definedName>
    <definedName name="SECTION_G">Breedcow!$B$124</definedName>
    <definedName name="SECTION_H">Breedcow!$B$137</definedName>
    <definedName name="WORKSHEET_RUN_SUMMARIES">Breedcow!$B$150</definedName>
  </definedNames>
  <calcPr calcId="162913"/>
</workbook>
</file>

<file path=xl/calcChain.xml><?xml version="1.0" encoding="utf-8"?>
<calcChain xmlns="http://schemas.openxmlformats.org/spreadsheetml/2006/main">
  <c r="F14" i="4" l="1"/>
  <c r="F15" i="4"/>
  <c r="F16" i="4"/>
  <c r="F17" i="4"/>
  <c r="F18" i="4"/>
  <c r="F19" i="4"/>
  <c r="F20" i="4"/>
  <c r="F21" i="4"/>
  <c r="F22" i="4"/>
  <c r="F23" i="4"/>
  <c r="F24" i="4"/>
  <c r="F25" i="4"/>
  <c r="F26" i="4"/>
  <c r="F33" i="6"/>
  <c r="F36" i="6"/>
  <c r="F39" i="6"/>
  <c r="AA40" i="11"/>
  <c r="Y40" i="11"/>
  <c r="T40" i="11"/>
  <c r="T41" i="11" s="1"/>
  <c r="T42" i="11" s="1"/>
  <c r="T43" i="11" s="1"/>
  <c r="T44" i="11" s="1"/>
  <c r="T45" i="11" s="1"/>
  <c r="T46" i="11" s="1"/>
  <c r="T47" i="11" s="1"/>
  <c r="T48" i="11" s="1"/>
  <c r="T49" i="11" s="1"/>
  <c r="T50" i="11" s="1"/>
  <c r="T51" i="11" s="1"/>
  <c r="T52" i="11" l="1"/>
  <c r="T53" i="11" s="1"/>
  <c r="T54" i="11" s="1"/>
  <c r="T55" i="11" s="1"/>
  <c r="T56" i="11" s="1"/>
  <c r="T57" i="11" s="1"/>
  <c r="T58" i="11" s="1"/>
  <c r="U51" i="11"/>
  <c r="C49" i="5" l="1"/>
  <c r="C47" i="5"/>
  <c r="C46" i="5"/>
  <c r="C45" i="5"/>
  <c r="C44" i="5"/>
  <c r="C43" i="5"/>
  <c r="C42" i="5"/>
  <c r="C29" i="5"/>
  <c r="C30" i="5" s="1"/>
  <c r="C31" i="5" s="1"/>
  <c r="C32" i="5" s="1"/>
  <c r="C33" i="5" s="1"/>
  <c r="C34" i="5" s="1"/>
  <c r="C35" i="5" s="1"/>
  <c r="C36" i="5" s="1"/>
  <c r="C37" i="5" s="1"/>
  <c r="C38" i="5" s="1"/>
  <c r="C39" i="5" s="1"/>
  <c r="C40" i="5" s="1"/>
  <c r="C28" i="5"/>
  <c r="C27" i="5"/>
  <c r="C14" i="5"/>
  <c r="C15" i="5" s="1"/>
  <c r="C16" i="5" s="1"/>
  <c r="C17" i="5" s="1"/>
  <c r="C18" i="5" s="1"/>
  <c r="C19" i="5" s="1"/>
  <c r="C20" i="5" s="1"/>
  <c r="C21" i="5" s="1"/>
  <c r="C22" i="5" s="1"/>
  <c r="C23" i="5" s="1"/>
  <c r="C24" i="5" s="1"/>
  <c r="C25" i="5" s="1"/>
  <c r="C13" i="5"/>
  <c r="C12" i="5"/>
  <c r="C11" i="5"/>
  <c r="P73" i="12" l="1"/>
  <c r="N73" i="12"/>
  <c r="M73" i="12"/>
  <c r="L73" i="12"/>
  <c r="P72" i="12"/>
  <c r="Q72" i="12" s="1"/>
  <c r="N72" i="12"/>
  <c r="L72" i="12"/>
  <c r="M71" i="12"/>
  <c r="O69" i="12"/>
  <c r="N69" i="12"/>
  <c r="M69" i="12"/>
  <c r="L69" i="12"/>
  <c r="N68" i="12"/>
  <c r="L68" i="12"/>
  <c r="M67" i="12"/>
  <c r="P65" i="12"/>
  <c r="N65" i="12"/>
  <c r="M65" i="12"/>
  <c r="L65" i="12"/>
  <c r="P64" i="12"/>
  <c r="Q64" i="12" s="1"/>
  <c r="N64" i="12"/>
  <c r="L64" i="12"/>
  <c r="O63" i="12"/>
  <c r="Q63" i="12" s="1"/>
  <c r="M63" i="12"/>
  <c r="G56" i="12"/>
  <c r="F56" i="12"/>
  <c r="E56" i="12"/>
  <c r="P68" i="12" s="1"/>
  <c r="Q68" i="12" s="1"/>
  <c r="D56" i="12"/>
  <c r="C56" i="12"/>
  <c r="O67" i="12" s="1"/>
  <c r="Q67" i="12" s="1"/>
  <c r="L127" i="12"/>
  <c r="M127" i="12" s="1"/>
  <c r="J127" i="12"/>
  <c r="H127" i="12"/>
  <c r="L126" i="12"/>
  <c r="J126" i="12"/>
  <c r="I126" i="12"/>
  <c r="H126" i="12"/>
  <c r="J125" i="12"/>
  <c r="I125" i="12"/>
  <c r="H125" i="12"/>
  <c r="L120" i="12"/>
  <c r="M120" i="12" s="1"/>
  <c r="J120" i="12"/>
  <c r="H120" i="12"/>
  <c r="L119" i="12"/>
  <c r="M119" i="12" s="1"/>
  <c r="J119" i="12"/>
  <c r="H119" i="12"/>
  <c r="L118" i="12"/>
  <c r="M118" i="12" s="1"/>
  <c r="J118" i="12"/>
  <c r="H118" i="12"/>
  <c r="E105" i="12"/>
  <c r="L125" i="12" s="1"/>
  <c r="D105" i="12"/>
  <c r="K125" i="12" s="1"/>
  <c r="M125" i="12" s="1"/>
  <c r="J177" i="12"/>
  <c r="H177" i="12"/>
  <c r="L176" i="12"/>
  <c r="K176" i="12"/>
  <c r="M176" i="12" s="1"/>
  <c r="J176" i="12"/>
  <c r="I176" i="12"/>
  <c r="H176" i="12"/>
  <c r="J175" i="12"/>
  <c r="I175" i="12"/>
  <c r="H175" i="12"/>
  <c r="J170" i="12"/>
  <c r="H170" i="12"/>
  <c r="L169" i="12"/>
  <c r="M169" i="12" s="1"/>
  <c r="J169" i="12"/>
  <c r="H169" i="12"/>
  <c r="J168" i="12"/>
  <c r="H168" i="12"/>
  <c r="E155" i="12"/>
  <c r="L177" i="12" s="1"/>
  <c r="M177" i="12" s="1"/>
  <c r="D155" i="12"/>
  <c r="K175" i="12" s="1"/>
  <c r="F8" i="12"/>
  <c r="G8" i="12"/>
  <c r="F9" i="12"/>
  <c r="G9" i="12"/>
  <c r="H9" i="12"/>
  <c r="F10" i="12"/>
  <c r="G10" i="12"/>
  <c r="H10" i="12"/>
  <c r="F11" i="12"/>
  <c r="G11" i="12"/>
  <c r="H11" i="12"/>
  <c r="F12" i="12"/>
  <c r="G12" i="12"/>
  <c r="F13" i="12"/>
  <c r="G13" i="12"/>
  <c r="F14" i="12"/>
  <c r="G14" i="12"/>
  <c r="F15" i="12"/>
  <c r="G15" i="12"/>
  <c r="F16" i="12"/>
  <c r="G16" i="12"/>
  <c r="F17" i="12"/>
  <c r="G17" i="12"/>
  <c r="H17" i="12"/>
  <c r="F18" i="12"/>
  <c r="G18" i="12"/>
  <c r="H18" i="12"/>
  <c r="F19" i="12"/>
  <c r="G19" i="12"/>
  <c r="H19" i="12"/>
  <c r="F20" i="12"/>
  <c r="G20" i="12"/>
  <c r="F24" i="12"/>
  <c r="G24" i="12"/>
  <c r="F25" i="12"/>
  <c r="G25" i="12"/>
  <c r="F26" i="12"/>
  <c r="G26" i="12"/>
  <c r="F27" i="12"/>
  <c r="G27" i="12"/>
  <c r="F28" i="12"/>
  <c r="G28" i="12"/>
  <c r="F29" i="12"/>
  <c r="G29" i="12"/>
  <c r="F30" i="12"/>
  <c r="G30" i="12"/>
  <c r="F31" i="12"/>
  <c r="G31" i="12"/>
  <c r="F32" i="12"/>
  <c r="G32" i="12"/>
  <c r="F33" i="12"/>
  <c r="G33" i="12"/>
  <c r="F34" i="12"/>
  <c r="G34" i="12"/>
  <c r="F35" i="12"/>
  <c r="G35" i="12"/>
  <c r="F36" i="12"/>
  <c r="G36" i="12"/>
  <c r="P69" i="12" l="1"/>
  <c r="Q69" i="12" s="1"/>
  <c r="O65" i="12"/>
  <c r="Q65" i="12" s="1"/>
  <c r="O71" i="12"/>
  <c r="Q71" i="12" s="1"/>
  <c r="O73" i="12"/>
  <c r="Q73" i="12" s="1"/>
  <c r="K126" i="12"/>
  <c r="M126" i="12" s="1"/>
  <c r="L175" i="12"/>
  <c r="M175" i="12" s="1"/>
  <c r="L168" i="12"/>
  <c r="M168" i="12" s="1"/>
  <c r="L170" i="12"/>
  <c r="M170" i="12" s="1"/>
  <c r="K32" i="6" l="1"/>
  <c r="K40" i="6" l="1"/>
  <c r="K35" i="6"/>
  <c r="K34" i="6"/>
  <c r="K31" i="6"/>
  <c r="K39" i="6"/>
  <c r="K38" i="6"/>
  <c r="K37" i="6"/>
  <c r="K36" i="6"/>
  <c r="K33" i="6"/>
  <c r="H1" i="7"/>
  <c r="H31" i="6" l="1"/>
  <c r="J31" i="6"/>
  <c r="M31" i="6" s="1"/>
  <c r="H32" i="6"/>
  <c r="J32" i="6"/>
  <c r="M32" i="6" s="1"/>
  <c r="H33" i="6"/>
  <c r="J33" i="6"/>
  <c r="M33" i="6" s="1"/>
  <c r="H34" i="6"/>
  <c r="J34" i="6"/>
  <c r="M34" i="6" s="1"/>
  <c r="H35" i="6"/>
  <c r="J35" i="6"/>
  <c r="M35" i="6" s="1"/>
  <c r="H36" i="6"/>
  <c r="J36" i="6"/>
  <c r="M36" i="6" s="1"/>
  <c r="H37" i="6"/>
  <c r="J37" i="6"/>
  <c r="H38" i="6"/>
  <c r="J38" i="6"/>
  <c r="H39" i="6"/>
  <c r="J39" i="6"/>
  <c r="H40" i="6"/>
  <c r="J40" i="6"/>
  <c r="N31" i="6"/>
  <c r="N32" i="6"/>
  <c r="N33" i="6"/>
  <c r="N34" i="6"/>
  <c r="N35" i="6"/>
  <c r="N36" i="6"/>
  <c r="N37" i="6"/>
  <c r="M37" i="6" l="1"/>
  <c r="H2" i="5" l="1"/>
  <c r="H2" i="4" s="1"/>
  <c r="H2" i="7" s="1"/>
  <c r="H1" i="5"/>
  <c r="H1" i="4" s="1"/>
  <c r="O16" i="11" l="1"/>
  <c r="K75" i="4" l="1"/>
  <c r="I75" i="4"/>
  <c r="M74" i="4"/>
  <c r="K74" i="4"/>
  <c r="C74" i="4"/>
  <c r="I74" i="4" s="1"/>
  <c r="M73" i="4"/>
  <c r="C73" i="4"/>
  <c r="I73" i="4" s="1"/>
  <c r="M72" i="4"/>
  <c r="C72" i="4"/>
  <c r="I72" i="4" s="1"/>
  <c r="K71" i="4"/>
  <c r="I71" i="4"/>
  <c r="K70" i="4"/>
  <c r="I70" i="4"/>
  <c r="K69" i="4"/>
  <c r="I69" i="4"/>
  <c r="K68" i="4"/>
  <c r="I68" i="4"/>
  <c r="K67" i="4"/>
  <c r="I67" i="4"/>
  <c r="M66" i="4"/>
  <c r="K66" i="4"/>
  <c r="I66" i="4"/>
  <c r="M65" i="4"/>
  <c r="K65" i="4"/>
  <c r="I65" i="4"/>
  <c r="M64" i="4"/>
  <c r="K64" i="4"/>
  <c r="I64" i="4"/>
  <c r="K63" i="4"/>
  <c r="I63" i="4"/>
  <c r="K73" i="4" l="1"/>
  <c r="K72" i="4"/>
  <c r="G33" i="11"/>
  <c r="D33" i="11"/>
  <c r="H32" i="11"/>
  <c r="I32" i="11" s="1"/>
  <c r="F32" i="11"/>
  <c r="H31" i="11"/>
  <c r="I31" i="11" s="1"/>
  <c r="F31" i="11"/>
  <c r="H30" i="11"/>
  <c r="I30" i="11" s="1"/>
  <c r="F30" i="11"/>
  <c r="H29" i="11"/>
  <c r="I29" i="11" s="1"/>
  <c r="F29" i="11"/>
  <c r="H28" i="11"/>
  <c r="I28" i="11" s="1"/>
  <c r="F28" i="11"/>
  <c r="H27" i="11"/>
  <c r="I27" i="11" s="1"/>
  <c r="F27" i="11"/>
  <c r="H26" i="11"/>
  <c r="I26" i="11" s="1"/>
  <c r="F26" i="11"/>
  <c r="H25" i="11"/>
  <c r="I25" i="11" s="1"/>
  <c r="F25" i="11"/>
  <c r="H24" i="11"/>
  <c r="I24" i="11" s="1"/>
  <c r="F24" i="11"/>
  <c r="H23" i="11"/>
  <c r="I23" i="11" s="1"/>
  <c r="F23" i="11"/>
  <c r="H22" i="11"/>
  <c r="I22" i="11" s="1"/>
  <c r="F22" i="11"/>
  <c r="H21" i="11"/>
  <c r="I21" i="11" s="1"/>
  <c r="F21" i="11"/>
  <c r="O15" i="11"/>
  <c r="O14" i="11"/>
  <c r="O13" i="11"/>
  <c r="D13" i="11"/>
  <c r="Q13" i="11" s="1"/>
  <c r="O12" i="11"/>
  <c r="O11" i="11"/>
  <c r="M10" i="11"/>
  <c r="M11" i="11" s="1"/>
  <c r="M12" i="11" s="1"/>
  <c r="M13" i="11" s="1"/>
  <c r="M14" i="11" s="1"/>
  <c r="M15" i="11" s="1"/>
  <c r="M16" i="11" s="1"/>
  <c r="M17" i="11" s="1"/>
  <c r="M18" i="11" s="1"/>
  <c r="M19" i="11" s="1"/>
  <c r="M20" i="11" s="1"/>
  <c r="M21" i="11" s="1"/>
  <c r="M22" i="11" s="1"/>
  <c r="M23" i="11" s="1"/>
  <c r="M24" i="11" s="1"/>
  <c r="M25" i="11" s="1"/>
  <c r="M26" i="11" s="1"/>
  <c r="M27" i="11" s="1"/>
  <c r="M28" i="11" s="1"/>
  <c r="M29" i="11" s="1"/>
  <c r="M30" i="11" s="1"/>
  <c r="M31" i="11" s="1"/>
  <c r="M32" i="11" s="1"/>
  <c r="M33" i="11" s="1"/>
  <c r="M34" i="11" s="1"/>
  <c r="M35" i="11" s="1"/>
  <c r="M36" i="11" s="1"/>
  <c r="M37" i="11" s="1"/>
  <c r="M38" i="11" s="1"/>
  <c r="M39" i="11" s="1"/>
  <c r="M40" i="11" s="1"/>
  <c r="M41" i="11" s="1"/>
  <c r="M42" i="11" s="1"/>
  <c r="M43" i="11" s="1"/>
  <c r="M44" i="11" s="1"/>
  <c r="M45" i="11" s="1"/>
  <c r="M46" i="11" s="1"/>
  <c r="M47" i="11" s="1"/>
  <c r="M48" i="11" s="1"/>
  <c r="M49" i="11" s="1"/>
  <c r="M50" i="11" s="1"/>
  <c r="M51" i="11" s="1"/>
  <c r="M52" i="11" s="1"/>
  <c r="M53" i="11" s="1"/>
  <c r="M54" i="11" s="1"/>
  <c r="M55" i="11" s="1"/>
  <c r="M56" i="11" s="1"/>
  <c r="M57" i="11" s="1"/>
  <c r="M58" i="11" s="1"/>
  <c r="M59" i="11" s="1"/>
  <c r="M60" i="11" s="1"/>
  <c r="M61" i="11" s="1"/>
  <c r="M62" i="11" s="1"/>
  <c r="M63" i="11" s="1"/>
  <c r="M64" i="11" s="1"/>
  <c r="M65" i="11" s="1"/>
  <c r="M66" i="11" s="1"/>
  <c r="M67" i="11" s="1"/>
  <c r="M68" i="11" s="1"/>
  <c r="M69" i="11" s="1"/>
  <c r="M70" i="11" s="1"/>
  <c r="D10" i="11"/>
  <c r="D9" i="11"/>
  <c r="Q15" i="11" l="1"/>
  <c r="Q11" i="11"/>
  <c r="Q12" i="11"/>
  <c r="Q16" i="11"/>
  <c r="N10" i="11"/>
  <c r="Q14" i="11"/>
  <c r="P11" i="11"/>
  <c r="F33" i="11"/>
  <c r="E33" i="11" s="1"/>
  <c r="I33" i="11"/>
  <c r="H33" i="11" s="1"/>
  <c r="N11" i="11"/>
  <c r="R11" i="11"/>
  <c r="R12" i="11" l="1"/>
  <c r="P12" i="11"/>
  <c r="N12" i="11"/>
  <c r="N13" i="11" l="1"/>
  <c r="P13" i="11"/>
  <c r="P14" i="11" s="1"/>
  <c r="R13" i="11"/>
  <c r="R14" i="11" l="1"/>
  <c r="N14" i="11"/>
  <c r="N15" i="11" l="1"/>
  <c r="P15" i="11"/>
  <c r="R15" i="11"/>
  <c r="S15" i="11" l="1"/>
  <c r="N16" i="11"/>
  <c r="P16" i="11" l="1"/>
  <c r="R16" i="11"/>
  <c r="N17" i="11"/>
  <c r="S16" i="11" l="1"/>
  <c r="Q17" i="11"/>
  <c r="R17" i="11" s="1"/>
  <c r="O17" i="11"/>
  <c r="P17" i="11" s="1"/>
  <c r="N18" i="11"/>
  <c r="O18" i="11" l="1"/>
  <c r="P18" i="11" s="1"/>
  <c r="Q18" i="11"/>
  <c r="R18" i="11" s="1"/>
  <c r="N19" i="11"/>
  <c r="N20" i="11" l="1"/>
  <c r="Q19" i="11"/>
  <c r="R19" i="11" s="1"/>
  <c r="O19" i="11"/>
  <c r="P19" i="11" s="1"/>
  <c r="Q20" i="11" l="1"/>
  <c r="R20" i="11" s="1"/>
  <c r="O20" i="11"/>
  <c r="P20" i="11" s="1"/>
  <c r="N21" i="11"/>
  <c r="O21" i="11" l="1"/>
  <c r="P21" i="11" s="1"/>
  <c r="Q21" i="11"/>
  <c r="R21" i="11" s="1"/>
  <c r="N22" i="11"/>
  <c r="O22" i="11" l="1"/>
  <c r="P22" i="11" s="1"/>
  <c r="Q22" i="11"/>
  <c r="R22" i="11" s="1"/>
  <c r="N23" i="11"/>
  <c r="N24" i="11" l="1"/>
  <c r="Q23" i="11"/>
  <c r="R23" i="11" s="1"/>
  <c r="O23" i="11"/>
  <c r="P23" i="11" s="1"/>
  <c r="S22" i="11"/>
  <c r="N25" i="11" l="1"/>
  <c r="O24" i="11"/>
  <c r="P24" i="11" s="1"/>
  <c r="Q24" i="11"/>
  <c r="R24" i="11" s="1"/>
  <c r="O25" i="11" l="1"/>
  <c r="P25" i="11" s="1"/>
  <c r="Q25" i="11"/>
  <c r="R25" i="11" s="1"/>
  <c r="N26" i="11"/>
  <c r="N27" i="11" l="1"/>
  <c r="Q26" i="11"/>
  <c r="R26" i="11" s="1"/>
  <c r="O26" i="11"/>
  <c r="P26" i="11" s="1"/>
  <c r="Q27" i="11" l="1"/>
  <c r="R27" i="11" s="1"/>
  <c r="O27" i="11"/>
  <c r="P27" i="11" s="1"/>
  <c r="N28" i="11"/>
  <c r="N29" i="11" l="1"/>
  <c r="O28" i="11"/>
  <c r="P28" i="11" s="1"/>
  <c r="Q28" i="11"/>
  <c r="R28" i="11" s="1"/>
  <c r="O29" i="11" l="1"/>
  <c r="Q29" i="11"/>
  <c r="R29" i="11" s="1"/>
  <c r="N30" i="11"/>
  <c r="P29" i="11" l="1"/>
  <c r="Q30" i="11"/>
  <c r="R30" i="11" s="1"/>
  <c r="O30" i="11"/>
  <c r="N31" i="11"/>
  <c r="P30" i="11" l="1"/>
  <c r="Q31" i="11"/>
  <c r="R31" i="11" s="1"/>
  <c r="O31" i="11"/>
  <c r="N32" i="11"/>
  <c r="P31" i="11" l="1"/>
  <c r="N33" i="11"/>
  <c r="O32" i="11"/>
  <c r="Q32" i="11"/>
  <c r="R32" i="11" s="1"/>
  <c r="P32" i="11" l="1"/>
  <c r="O33" i="11"/>
  <c r="Q33" i="11"/>
  <c r="R33" i="11" s="1"/>
  <c r="N34" i="11"/>
  <c r="P33" i="11" l="1"/>
  <c r="Q34" i="11"/>
  <c r="R34" i="11" s="1"/>
  <c r="O34" i="11"/>
  <c r="N35" i="11"/>
  <c r="P34" i="11" l="1"/>
  <c r="O35" i="11"/>
  <c r="Q35" i="11"/>
  <c r="R35" i="11" s="1"/>
  <c r="N36" i="11"/>
  <c r="P35" i="11" l="1"/>
  <c r="N37" i="11"/>
  <c r="Q36" i="11"/>
  <c r="R36" i="11" s="1"/>
  <c r="O36" i="11"/>
  <c r="P36" i="11" l="1"/>
  <c r="O37" i="11"/>
  <c r="Q37" i="11"/>
  <c r="R37" i="11" s="1"/>
  <c r="N38" i="11"/>
  <c r="P37" i="11" l="1"/>
  <c r="Q38" i="11"/>
  <c r="R38" i="11" s="1"/>
  <c r="O38" i="11"/>
  <c r="N39" i="11"/>
  <c r="P38" i="11" l="1"/>
  <c r="O39" i="11"/>
  <c r="Q39" i="11"/>
  <c r="R39" i="11" s="1"/>
  <c r="N40" i="11"/>
  <c r="P39" i="11" l="1"/>
  <c r="O40" i="11"/>
  <c r="Q40" i="11"/>
  <c r="R40" i="11" s="1"/>
  <c r="N41" i="11"/>
  <c r="P40" i="11" l="1"/>
  <c r="O41" i="11"/>
  <c r="Q41" i="11"/>
  <c r="R41" i="11" s="1"/>
  <c r="N42" i="11"/>
  <c r="P41" i="11" l="1"/>
  <c r="O42" i="11"/>
  <c r="Q42" i="11"/>
  <c r="R42" i="11" s="1"/>
  <c r="N43" i="11"/>
  <c r="P42" i="11" l="1"/>
  <c r="O43" i="11"/>
  <c r="Q43" i="11"/>
  <c r="R43" i="11" s="1"/>
  <c r="N44" i="11"/>
  <c r="P43" i="11" l="1"/>
  <c r="N45" i="11"/>
  <c r="Q44" i="11"/>
  <c r="R44" i="11" s="1"/>
  <c r="O44" i="11"/>
  <c r="P44" i="11" l="1"/>
  <c r="N46" i="11"/>
  <c r="O45" i="11"/>
  <c r="Q45" i="11"/>
  <c r="R45" i="11" s="1"/>
  <c r="P45" i="11" l="1"/>
  <c r="N47" i="11"/>
  <c r="O47" i="11" s="1"/>
  <c r="Q46" i="11"/>
  <c r="R46" i="11" s="1"/>
  <c r="O46" i="11"/>
  <c r="P46" i="11" l="1"/>
  <c r="P47" i="11" s="1"/>
  <c r="N48" i="11"/>
  <c r="O48" i="11" s="1"/>
  <c r="P48" i="11" l="1"/>
  <c r="N49" i="11"/>
  <c r="O49" i="11" s="1"/>
  <c r="P49" i="11" l="1"/>
  <c r="N50" i="11"/>
  <c r="O50" i="11" s="1"/>
  <c r="P50" i="11" l="1"/>
  <c r="N51" i="11"/>
  <c r="O51" i="11" s="1"/>
  <c r="P51" i="11" l="1"/>
  <c r="N52" i="11"/>
  <c r="O52" i="11" s="1"/>
  <c r="P52" i="11" l="1"/>
  <c r="N53" i="11"/>
  <c r="O53" i="11" s="1"/>
  <c r="P53" i="11" l="1"/>
  <c r="N54" i="11"/>
  <c r="O54" i="11" s="1"/>
  <c r="P54" i="11" l="1"/>
  <c r="N55" i="11"/>
  <c r="O55" i="11" s="1"/>
  <c r="P55" i="11" l="1"/>
  <c r="N56" i="11"/>
  <c r="O56" i="11" s="1"/>
  <c r="P56" i="11" l="1"/>
  <c r="N57" i="11"/>
  <c r="O57" i="11" s="1"/>
  <c r="P57" i="11" l="1"/>
  <c r="N58" i="11"/>
  <c r="O58" i="11" s="1"/>
  <c r="P58" i="11" l="1"/>
  <c r="N59" i="11"/>
  <c r="O59" i="11" s="1"/>
  <c r="P59" i="11" l="1"/>
  <c r="N60" i="11"/>
  <c r="O60" i="11" s="1"/>
  <c r="P60" i="11" l="1"/>
  <c r="N61" i="11"/>
  <c r="O61" i="11" s="1"/>
  <c r="P61" i="11" l="1"/>
  <c r="N62" i="11"/>
  <c r="O62" i="11" s="1"/>
  <c r="P62" i="11" l="1"/>
  <c r="N63" i="11"/>
  <c r="O63" i="11" s="1"/>
  <c r="P63" i="11" l="1"/>
  <c r="N64" i="11"/>
  <c r="O64" i="11" s="1"/>
  <c r="P64" i="11" l="1"/>
  <c r="N65" i="11"/>
  <c r="O65" i="11" s="1"/>
  <c r="P65" i="11" l="1"/>
  <c r="N66" i="11"/>
  <c r="O66" i="11" s="1"/>
  <c r="P66" i="11" l="1"/>
  <c r="N67" i="11"/>
  <c r="O67" i="11" s="1"/>
  <c r="P67" i="11" l="1"/>
  <c r="N68" i="11"/>
  <c r="O68" i="11" s="1"/>
  <c r="P68" i="11" l="1"/>
  <c r="N69" i="11"/>
  <c r="O69" i="11" s="1"/>
  <c r="N70" i="11"/>
  <c r="O70" i="11" s="1"/>
  <c r="P69" i="11" l="1"/>
  <c r="P70" i="11" s="1"/>
  <c r="O12" i="8" l="1"/>
  <c r="O27" i="8" s="1"/>
  <c r="N12" i="8"/>
  <c r="M12" i="8"/>
  <c r="L12" i="8"/>
  <c r="L13" i="8" s="1"/>
  <c r="K12" i="8"/>
  <c r="K13" i="8" s="1"/>
  <c r="J12" i="8"/>
  <c r="I12" i="8"/>
  <c r="I13" i="8" s="1"/>
  <c r="H12" i="8"/>
  <c r="G12" i="8"/>
  <c r="F12" i="8"/>
  <c r="F13" i="8" s="1"/>
  <c r="F14" i="8" s="1"/>
  <c r="F17" i="8" s="1"/>
  <c r="E12" i="8"/>
  <c r="E13" i="8" s="1"/>
  <c r="E15" i="8" s="1"/>
  <c r="E18" i="8" s="1"/>
  <c r="D12" i="8"/>
  <c r="C12" i="8"/>
  <c r="C23" i="8" s="1"/>
  <c r="J212" i="7"/>
  <c r="J211" i="7"/>
  <c r="J210" i="7"/>
  <c r="J209" i="7"/>
  <c r="J208" i="7"/>
  <c r="J207" i="7"/>
  <c r="J206" i="7"/>
  <c r="J205" i="7"/>
  <c r="J204" i="7"/>
  <c r="J203" i="7"/>
  <c r="J202" i="7"/>
  <c r="J201" i="7"/>
  <c r="J200" i="7"/>
  <c r="J199" i="7"/>
  <c r="J198" i="7"/>
  <c r="J197" i="7"/>
  <c r="J196" i="7"/>
  <c r="J195" i="7"/>
  <c r="J193" i="7"/>
  <c r="P153" i="7"/>
  <c r="O153" i="7"/>
  <c r="N153" i="7"/>
  <c r="M153" i="7"/>
  <c r="L153" i="7"/>
  <c r="K153" i="7"/>
  <c r="P152" i="7"/>
  <c r="O152" i="7"/>
  <c r="N152" i="7"/>
  <c r="M152" i="7"/>
  <c r="L152" i="7"/>
  <c r="K152" i="7"/>
  <c r="B82" i="4"/>
  <c r="B81" i="4"/>
  <c r="B80" i="4"/>
  <c r="B79" i="4"/>
  <c r="B78" i="4"/>
  <c r="B77" i="4"/>
  <c r="B76" i="4"/>
  <c r="B60" i="4"/>
  <c r="B59" i="4"/>
  <c r="B58" i="4"/>
  <c r="B57" i="4"/>
  <c r="F33" i="4"/>
  <c r="F32" i="4"/>
  <c r="F31" i="4"/>
  <c r="F30" i="4"/>
  <c r="F29" i="4"/>
  <c r="F28" i="4"/>
  <c r="F27" i="4"/>
  <c r="K67" i="5"/>
  <c r="K66" i="5"/>
  <c r="K65" i="5"/>
  <c r="K64" i="5"/>
  <c r="K63" i="5"/>
  <c r="K62" i="5"/>
  <c r="K61" i="5"/>
  <c r="K60" i="5"/>
  <c r="K59" i="5"/>
  <c r="K58" i="5"/>
  <c r="K57" i="5"/>
  <c r="K55" i="5"/>
  <c r="E49" i="5"/>
  <c r="J49" i="5" s="1"/>
  <c r="K49" i="5" s="1"/>
  <c r="E47" i="5"/>
  <c r="J47" i="5" s="1"/>
  <c r="K47" i="5" s="1"/>
  <c r="E46" i="5"/>
  <c r="E45" i="5"/>
  <c r="E44" i="5"/>
  <c r="J44" i="5" s="1"/>
  <c r="K44" i="5" s="1"/>
  <c r="E43" i="5"/>
  <c r="E42" i="5"/>
  <c r="J42" i="5" s="1"/>
  <c r="E28" i="5"/>
  <c r="E27" i="5"/>
  <c r="J27" i="5" s="1"/>
  <c r="E14" i="5"/>
  <c r="J14" i="5" s="1"/>
  <c r="K14" i="5" s="1"/>
  <c r="E13" i="5"/>
  <c r="E12" i="5"/>
  <c r="E11" i="5"/>
  <c r="N40" i="6"/>
  <c r="AD13" i="4" s="1"/>
  <c r="N38" i="6"/>
  <c r="Y13" i="4" s="1"/>
  <c r="U13" i="4"/>
  <c r="N13" i="4"/>
  <c r="L13" i="4"/>
  <c r="J13" i="4"/>
  <c r="H199" i="7"/>
  <c r="H198" i="7"/>
  <c r="H197" i="7"/>
  <c r="H196" i="7"/>
  <c r="H195" i="7"/>
  <c r="R88" i="7"/>
  <c r="R89" i="7" s="1"/>
  <c r="F76" i="7"/>
  <c r="F80" i="7" s="1"/>
  <c r="F109" i="7" s="1"/>
  <c r="J37" i="4" s="1"/>
  <c r="B4" i="9"/>
  <c r="B10" i="9" s="1"/>
  <c r="B12" i="9"/>
  <c r="B13" i="9"/>
  <c r="G107" i="7"/>
  <c r="AD35" i="4"/>
  <c r="P47" i="4" s="1"/>
  <c r="Q130" i="7" s="1"/>
  <c r="AA35" i="4"/>
  <c r="O47" i="4" s="1"/>
  <c r="P130" i="7" s="1"/>
  <c r="Y35" i="4"/>
  <c r="N47" i="4" s="1"/>
  <c r="O130" i="7" s="1"/>
  <c r="W35" i="4"/>
  <c r="M47" i="4" s="1"/>
  <c r="N130" i="7" s="1"/>
  <c r="U35" i="4"/>
  <c r="L47" i="4" s="1"/>
  <c r="M130" i="7" s="1"/>
  <c r="S35" i="4"/>
  <c r="K47" i="4" s="1"/>
  <c r="L130" i="7" s="1"/>
  <c r="AC35" i="4"/>
  <c r="P45" i="4" s="1"/>
  <c r="Q129" i="7" s="1"/>
  <c r="O45" i="4"/>
  <c r="P129" i="7" s="1"/>
  <c r="X35" i="4"/>
  <c r="N45" i="4" s="1"/>
  <c r="O129" i="7" s="1"/>
  <c r="V35" i="4"/>
  <c r="M45" i="4" s="1"/>
  <c r="N129" i="7" s="1"/>
  <c r="T35" i="4"/>
  <c r="L45" i="4" s="1"/>
  <c r="M129" i="7" s="1"/>
  <c r="R35" i="4"/>
  <c r="K45" i="4" s="1"/>
  <c r="L129" i="7" s="1"/>
  <c r="G35" i="4"/>
  <c r="J47" i="4" s="1"/>
  <c r="K130" i="7" s="1"/>
  <c r="P35" i="4"/>
  <c r="H47" i="4" s="1"/>
  <c r="I130" i="7" s="1"/>
  <c r="N35" i="4"/>
  <c r="G47" i="4" s="1"/>
  <c r="H130" i="7" s="1"/>
  <c r="L35" i="4"/>
  <c r="F47" i="4" s="1"/>
  <c r="G130" i="7" s="1"/>
  <c r="J35" i="4"/>
  <c r="E47" i="4" s="1"/>
  <c r="F130" i="7" s="1"/>
  <c r="O35" i="4"/>
  <c r="H45" i="4" s="1"/>
  <c r="I129" i="7" s="1"/>
  <c r="M35" i="4"/>
  <c r="G45" i="4" s="1"/>
  <c r="H129" i="7" s="1"/>
  <c r="K35" i="4"/>
  <c r="F45" i="4" s="1"/>
  <c r="G129" i="7" s="1"/>
  <c r="I35" i="4"/>
  <c r="E45" i="4" s="1"/>
  <c r="F129" i="7" s="1"/>
  <c r="E35" i="4"/>
  <c r="D47" i="4" s="1"/>
  <c r="E130" i="7" s="1"/>
  <c r="D35" i="4"/>
  <c r="D45" i="4" s="1"/>
  <c r="E129" i="7" s="1"/>
  <c r="J23" i="6"/>
  <c r="H30" i="6"/>
  <c r="G108" i="7"/>
  <c r="G109" i="7"/>
  <c r="G111" i="7"/>
  <c r="G114" i="7"/>
  <c r="G115" i="7"/>
  <c r="W13" i="4"/>
  <c r="N39" i="6"/>
  <c r="AA13" i="4" s="1"/>
  <c r="G118" i="7"/>
  <c r="I65" i="5"/>
  <c r="S13" i="4"/>
  <c r="G113" i="7"/>
  <c r="K24" i="6"/>
  <c r="G116" i="7"/>
  <c r="G13" i="4"/>
  <c r="B9" i="9"/>
  <c r="J46" i="7"/>
  <c r="N46" i="5" s="1"/>
  <c r="H109" i="7" l="1"/>
  <c r="F35" i="4"/>
  <c r="J45" i="4" s="1"/>
  <c r="K129" i="7" s="1"/>
  <c r="H115" i="7"/>
  <c r="H111" i="7"/>
  <c r="N13" i="8"/>
  <c r="N15" i="8" s="1"/>
  <c r="N18" i="8" s="1"/>
  <c r="F15" i="8"/>
  <c r="F18" i="8" s="1"/>
  <c r="O13" i="8"/>
  <c r="O15" i="8" s="1"/>
  <c r="O18" i="8" s="1"/>
  <c r="O23" i="8"/>
  <c r="C13" i="8"/>
  <c r="C15" i="8" s="1"/>
  <c r="C18" i="8" s="1"/>
  <c r="E14" i="8"/>
  <c r="E17" i="8" s="1"/>
  <c r="K15" i="8"/>
  <c r="K18" i="8" s="1"/>
  <c r="L15" i="8"/>
  <c r="L18" i="8" s="1"/>
  <c r="F116" i="7"/>
  <c r="Y37" i="4" s="1"/>
  <c r="Y38" i="4" s="1"/>
  <c r="I14" i="8"/>
  <c r="I17" i="8" s="1"/>
  <c r="I15" i="8"/>
  <c r="I18" i="8" s="1"/>
  <c r="M13" i="8"/>
  <c r="M14" i="8" s="1"/>
  <c r="M17" i="8" s="1"/>
  <c r="G13" i="8"/>
  <c r="G14" i="8" s="1"/>
  <c r="G17" i="8" s="1"/>
  <c r="J13" i="8"/>
  <c r="D13" i="8"/>
  <c r="D14" i="8" s="1"/>
  <c r="D17" i="8" s="1"/>
  <c r="L14" i="8"/>
  <c r="L17" i="8" s="1"/>
  <c r="C27" i="8"/>
  <c r="E22" i="8"/>
  <c r="E27" i="8" s="1"/>
  <c r="K14" i="8"/>
  <c r="K17" i="8" s="1"/>
  <c r="E16" i="8"/>
  <c r="E19" i="8" s="1"/>
  <c r="H13" i="8"/>
  <c r="H14" i="8" s="1"/>
  <c r="H17" i="8" s="1"/>
  <c r="N12" i="5"/>
  <c r="R12" i="5" s="1"/>
  <c r="F83" i="7"/>
  <c r="E109" i="7" s="1"/>
  <c r="J38" i="4"/>
  <c r="K42" i="5"/>
  <c r="L42" i="5" s="1"/>
  <c r="L14" i="5"/>
  <c r="L49" i="5"/>
  <c r="L47" i="5"/>
  <c r="J46" i="5"/>
  <c r="R46" i="5"/>
  <c r="J45" i="5"/>
  <c r="L44" i="5"/>
  <c r="J43" i="5"/>
  <c r="E29" i="5"/>
  <c r="J13" i="5"/>
  <c r="J28" i="5"/>
  <c r="J12" i="5"/>
  <c r="K27" i="5"/>
  <c r="J11" i="5"/>
  <c r="M40" i="6"/>
  <c r="H118" i="7" s="1"/>
  <c r="M39" i="6"/>
  <c r="H117" i="7" s="1"/>
  <c r="H108" i="7"/>
  <c r="E13" i="4"/>
  <c r="M38" i="6"/>
  <c r="H116" i="7" s="1"/>
  <c r="G110" i="7"/>
  <c r="H113" i="7"/>
  <c r="H114" i="7"/>
  <c r="H110" i="7"/>
  <c r="F87" i="7" l="1"/>
  <c r="F88" i="7" s="1"/>
  <c r="F89" i="7" s="1"/>
  <c r="F16" i="8"/>
  <c r="F19" i="8" s="1"/>
  <c r="F20" i="8" s="1"/>
  <c r="F23" i="8" s="1"/>
  <c r="E15" i="5"/>
  <c r="J15" i="5" s="1"/>
  <c r="K15" i="5" s="1"/>
  <c r="N14" i="8"/>
  <c r="N17" i="8" s="1"/>
  <c r="F22" i="8"/>
  <c r="F27" i="8" s="1"/>
  <c r="O16" i="8"/>
  <c r="O19" i="8" s="1"/>
  <c r="O14" i="8"/>
  <c r="O17" i="8" s="1"/>
  <c r="N22" i="8"/>
  <c r="N27" i="8" s="1"/>
  <c r="N16" i="8"/>
  <c r="N19" i="8" s="1"/>
  <c r="O22" i="8"/>
  <c r="C22" i="8"/>
  <c r="C14" i="8"/>
  <c r="C17" i="8" s="1"/>
  <c r="C16" i="8"/>
  <c r="C19" i="8" s="1"/>
  <c r="E20" i="8"/>
  <c r="E23" i="8" s="1"/>
  <c r="K16" i="8"/>
  <c r="K19" i="8" s="1"/>
  <c r="K20" i="8" s="1"/>
  <c r="K22" i="8"/>
  <c r="K27" i="8" s="1"/>
  <c r="I16" i="8"/>
  <c r="I19" i="8" s="1"/>
  <c r="I20" i="8" s="1"/>
  <c r="L22" i="8"/>
  <c r="L27" i="8" s="1"/>
  <c r="I22" i="8"/>
  <c r="I27" i="8" s="1"/>
  <c r="L16" i="8"/>
  <c r="L19" i="8" s="1"/>
  <c r="L20" i="8" s="1"/>
  <c r="G76" i="7"/>
  <c r="G83" i="7" s="1"/>
  <c r="G87" i="7" s="1"/>
  <c r="D15" i="8"/>
  <c r="D18" i="8" s="1"/>
  <c r="H15" i="8"/>
  <c r="H18" i="8" s="1"/>
  <c r="J15" i="8"/>
  <c r="J18" i="8" s="1"/>
  <c r="J14" i="8"/>
  <c r="J17" i="8" s="1"/>
  <c r="G15" i="8"/>
  <c r="G18" i="8" s="1"/>
  <c r="M15" i="8"/>
  <c r="M18" i="8" s="1"/>
  <c r="I37" i="4"/>
  <c r="I38" i="4" s="1"/>
  <c r="I109" i="7"/>
  <c r="L27" i="5"/>
  <c r="E30" i="7" s="1"/>
  <c r="G29" i="7"/>
  <c r="I57" i="7"/>
  <c r="I31" i="7"/>
  <c r="O46" i="5"/>
  <c r="K46" i="5"/>
  <c r="P46" i="5" s="1"/>
  <c r="K45" i="5"/>
  <c r="L45" i="5" s="1"/>
  <c r="G197" i="7"/>
  <c r="F31" i="7"/>
  <c r="I56" i="7" s="1"/>
  <c r="K43" i="5"/>
  <c r="L43" i="5" s="1"/>
  <c r="E30" i="5"/>
  <c r="J29" i="5"/>
  <c r="K28" i="5"/>
  <c r="K13" i="5"/>
  <c r="L13" i="5" s="1"/>
  <c r="K12" i="5"/>
  <c r="P12" i="5" s="1"/>
  <c r="O12" i="5"/>
  <c r="D31" i="7"/>
  <c r="G195" i="7"/>
  <c r="K11" i="5"/>
  <c r="F21" i="8" l="1"/>
  <c r="F24" i="8" s="1"/>
  <c r="E16" i="5"/>
  <c r="J16" i="5" s="1"/>
  <c r="K16" i="5" s="1"/>
  <c r="L16" i="5" s="1"/>
  <c r="I29" i="7" s="1"/>
  <c r="N20" i="8"/>
  <c r="O20" i="8"/>
  <c r="O21" i="8" s="1"/>
  <c r="O24" i="8" s="1"/>
  <c r="L12" i="5"/>
  <c r="Q12" i="5" s="1"/>
  <c r="D22" i="8"/>
  <c r="D27" i="8" s="1"/>
  <c r="M16" i="8"/>
  <c r="M19" i="8" s="1"/>
  <c r="M20" i="8" s="1"/>
  <c r="M23" i="8" s="1"/>
  <c r="C20" i="8"/>
  <c r="C21" i="8" s="1"/>
  <c r="C24" i="8" s="1"/>
  <c r="E21" i="8"/>
  <c r="E24" i="8" s="1"/>
  <c r="K21" i="8"/>
  <c r="K24" i="8" s="1"/>
  <c r="K23" i="8"/>
  <c r="L23" i="8"/>
  <c r="L21" i="8"/>
  <c r="L24" i="8" s="1"/>
  <c r="I21" i="8"/>
  <c r="I24" i="8" s="1"/>
  <c r="I23" i="8"/>
  <c r="J22" i="8"/>
  <c r="J27" i="8" s="1"/>
  <c r="H22" i="8"/>
  <c r="H27" i="8" s="1"/>
  <c r="J16" i="8"/>
  <c r="J19" i="8" s="1"/>
  <c r="J20" i="8" s="1"/>
  <c r="H16" i="8"/>
  <c r="H19" i="8" s="1"/>
  <c r="H20" i="8" s="1"/>
  <c r="G80" i="7"/>
  <c r="N13" i="5" s="1"/>
  <c r="G16" i="8"/>
  <c r="G19" i="8" s="1"/>
  <c r="G20" i="8" s="1"/>
  <c r="M22" i="8"/>
  <c r="M27" i="8" s="1"/>
  <c r="G22" i="8"/>
  <c r="G27" i="8" s="1"/>
  <c r="D16" i="8"/>
  <c r="D19" i="8" s="1"/>
  <c r="D20" i="8" s="1"/>
  <c r="G88" i="7"/>
  <c r="L15" i="5"/>
  <c r="H29" i="7" s="1"/>
  <c r="L46" i="5"/>
  <c r="G198" i="7"/>
  <c r="G31" i="7"/>
  <c r="E31" i="7"/>
  <c r="G196" i="7"/>
  <c r="K29" i="5"/>
  <c r="J30" i="5"/>
  <c r="E31" i="5"/>
  <c r="F29" i="7"/>
  <c r="L28" i="5"/>
  <c r="L11" i="5"/>
  <c r="E29" i="7" l="1"/>
  <c r="N21" i="8"/>
  <c r="N24" i="8" s="1"/>
  <c r="N23" i="8"/>
  <c r="E17" i="5"/>
  <c r="J17" i="5" s="1"/>
  <c r="K17" i="5" s="1"/>
  <c r="L17" i="5" s="1"/>
  <c r="M21" i="8"/>
  <c r="M24" i="8" s="1"/>
  <c r="H21" i="8"/>
  <c r="H24" i="8" s="1"/>
  <c r="H23" i="8"/>
  <c r="H76" i="7"/>
  <c r="H83" i="7" s="1"/>
  <c r="H87" i="7" s="1"/>
  <c r="P13" i="5"/>
  <c r="Q13" i="5"/>
  <c r="F110" i="7"/>
  <c r="L37" i="4" s="1"/>
  <c r="L38" i="4" s="1"/>
  <c r="E110" i="7"/>
  <c r="G21" i="8"/>
  <c r="G24" i="8" s="1"/>
  <c r="G23" i="8"/>
  <c r="D23" i="8"/>
  <c r="D21" i="8"/>
  <c r="D24" i="8" s="1"/>
  <c r="J23" i="8"/>
  <c r="J21" i="8"/>
  <c r="J24" i="8" s="1"/>
  <c r="G89" i="7"/>
  <c r="R13" i="5"/>
  <c r="O13" i="5"/>
  <c r="Q46" i="5"/>
  <c r="G199" i="7"/>
  <c r="H31" i="7"/>
  <c r="J31" i="5"/>
  <c r="K30" i="5"/>
  <c r="E32" i="5"/>
  <c r="L29" i="5"/>
  <c r="F30" i="7"/>
  <c r="D29" i="7"/>
  <c r="E18" i="5" l="1"/>
  <c r="J18" i="5" s="1"/>
  <c r="K18" i="5" s="1"/>
  <c r="L18" i="5" s="1"/>
  <c r="I110" i="7"/>
  <c r="H80" i="7"/>
  <c r="N14" i="5" s="1"/>
  <c r="K37" i="4"/>
  <c r="K38" i="4" s="1"/>
  <c r="H88" i="7"/>
  <c r="L30" i="5"/>
  <c r="H30" i="7" s="1"/>
  <c r="J29" i="7"/>
  <c r="G30" i="7"/>
  <c r="J32" i="5"/>
  <c r="K31" i="5"/>
  <c r="E33" i="5"/>
  <c r="E19" i="5" l="1"/>
  <c r="J19" i="5" s="1"/>
  <c r="K19" i="5" s="1"/>
  <c r="L19" i="5" s="1"/>
  <c r="I76" i="7"/>
  <c r="I80" i="7" s="1"/>
  <c r="H89" i="7"/>
  <c r="O14" i="5"/>
  <c r="P14" i="5"/>
  <c r="R14" i="5"/>
  <c r="Q14" i="5"/>
  <c r="E34" i="5"/>
  <c r="J33" i="5"/>
  <c r="K29" i="7"/>
  <c r="L31" i="5"/>
  <c r="K32" i="5"/>
  <c r="E20" i="5" l="1"/>
  <c r="J20" i="5" s="1"/>
  <c r="K20" i="5" s="1"/>
  <c r="L20" i="5" s="1"/>
  <c r="I83" i="7"/>
  <c r="I87" i="7" s="1"/>
  <c r="I88" i="7" s="1"/>
  <c r="N15" i="5"/>
  <c r="L29" i="7"/>
  <c r="I30" i="7"/>
  <c r="J34" i="5"/>
  <c r="E35" i="5"/>
  <c r="K33" i="5"/>
  <c r="L32" i="5"/>
  <c r="E21" i="5" l="1"/>
  <c r="J21" i="5" s="1"/>
  <c r="K21" i="5" s="1"/>
  <c r="J76" i="7"/>
  <c r="J80" i="7" s="1"/>
  <c r="R15" i="5"/>
  <c r="O15" i="5"/>
  <c r="Q15" i="5"/>
  <c r="P15" i="5"/>
  <c r="I89" i="7"/>
  <c r="E36" i="5"/>
  <c r="M29" i="7"/>
  <c r="K34" i="5"/>
  <c r="L34" i="5" s="1"/>
  <c r="J30" i="7"/>
  <c r="L33" i="5"/>
  <c r="J35" i="5"/>
  <c r="E22" i="5" l="1"/>
  <c r="J22" i="5" s="1"/>
  <c r="K22" i="5" s="1"/>
  <c r="L22" i="5" s="1"/>
  <c r="J83" i="7"/>
  <c r="J87" i="7" s="1"/>
  <c r="J88" i="7" s="1"/>
  <c r="N16" i="5"/>
  <c r="K35" i="5"/>
  <c r="L35" i="5" s="1"/>
  <c r="L21" i="5"/>
  <c r="K30" i="7"/>
  <c r="L30" i="7"/>
  <c r="J36" i="5"/>
  <c r="E37" i="5"/>
  <c r="E23" i="5" l="1"/>
  <c r="J23" i="5" s="1"/>
  <c r="K23" i="5" s="1"/>
  <c r="K76" i="7"/>
  <c r="K80" i="7" s="1"/>
  <c r="J89" i="7"/>
  <c r="O16" i="5"/>
  <c r="R16" i="5"/>
  <c r="P16" i="5"/>
  <c r="Q16" i="5"/>
  <c r="O29" i="7"/>
  <c r="E38" i="5"/>
  <c r="M30" i="7"/>
  <c r="J37" i="5"/>
  <c r="K36" i="5"/>
  <c r="L36" i="5" s="1"/>
  <c r="N29" i="7"/>
  <c r="E24" i="5" l="1"/>
  <c r="J24" i="5" s="1"/>
  <c r="K24" i="5" s="1"/>
  <c r="E25" i="5"/>
  <c r="J25" i="5" s="1"/>
  <c r="K25" i="5" s="1"/>
  <c r="K83" i="7"/>
  <c r="K87" i="7" s="1"/>
  <c r="K88" i="7" s="1"/>
  <c r="N17" i="5"/>
  <c r="L23" i="5"/>
  <c r="P29" i="7" s="1"/>
  <c r="E39" i="5"/>
  <c r="E40" i="5"/>
  <c r="K37" i="5"/>
  <c r="J38" i="5"/>
  <c r="N30" i="7"/>
  <c r="L76" i="7" l="1"/>
  <c r="L80" i="7" s="1"/>
  <c r="N18" i="5" s="1"/>
  <c r="P18" i="5" s="1"/>
  <c r="K89" i="7"/>
  <c r="R17" i="5"/>
  <c r="O17" i="5"/>
  <c r="P17" i="5"/>
  <c r="Q17" i="5"/>
  <c r="L37" i="5"/>
  <c r="O30" i="7" s="1"/>
  <c r="L24" i="5"/>
  <c r="Q29" i="7" s="1"/>
  <c r="L25" i="5"/>
  <c r="R29" i="7" s="1"/>
  <c r="K38" i="5"/>
  <c r="J40" i="5"/>
  <c r="J39" i="5"/>
  <c r="Q18" i="5" l="1"/>
  <c r="O18" i="5"/>
  <c r="R18" i="5"/>
  <c r="L83" i="7"/>
  <c r="L87" i="7" s="1"/>
  <c r="L88" i="7" s="1"/>
  <c r="L89" i="7" s="1"/>
  <c r="K39" i="5"/>
  <c r="L39" i="5" s="1"/>
  <c r="K40" i="5"/>
  <c r="L40" i="5" s="1"/>
  <c r="L38" i="5"/>
  <c r="M76" i="7" l="1"/>
  <c r="M80" i="7" s="1"/>
  <c r="N19" i="5" s="1"/>
  <c r="Q30" i="7"/>
  <c r="R30" i="7"/>
  <c r="P30" i="7"/>
  <c r="M83" i="7" l="1"/>
  <c r="M87" i="7" s="1"/>
  <c r="M88" i="7" s="1"/>
  <c r="M89" i="7" s="1"/>
  <c r="R19" i="5"/>
  <c r="O19" i="5"/>
  <c r="P19" i="5"/>
  <c r="Q19" i="5"/>
  <c r="N76" i="7" l="1"/>
  <c r="N80" i="7" s="1"/>
  <c r="N20" i="5" s="1"/>
  <c r="P20" i="5" s="1"/>
  <c r="Q20" i="5" l="1"/>
  <c r="O20" i="5"/>
  <c r="R20" i="5"/>
  <c r="N83" i="7"/>
  <c r="N87" i="7" s="1"/>
  <c r="N88" i="7" s="1"/>
  <c r="N89" i="7" s="1"/>
  <c r="O76" i="7" l="1"/>
  <c r="O80" i="7" s="1"/>
  <c r="N21" i="5" s="1"/>
  <c r="Q21" i="5" s="1"/>
  <c r="O21" i="5" l="1"/>
  <c r="P21" i="5"/>
  <c r="R21" i="5"/>
  <c r="O83" i="7"/>
  <c r="P76" i="7" s="1"/>
  <c r="P80" i="7" s="1"/>
  <c r="N22" i="5" s="1"/>
  <c r="P22" i="5" s="1"/>
  <c r="O87" i="7" l="1"/>
  <c r="O88" i="7" s="1"/>
  <c r="O89" i="7" s="1"/>
  <c r="O22" i="5"/>
  <c r="R22" i="5"/>
  <c r="Q22" i="5"/>
  <c r="P83" i="7"/>
  <c r="P87" i="7" s="1"/>
  <c r="P88" i="7" s="1"/>
  <c r="P89" i="7" s="1"/>
  <c r="Q76" i="7" l="1"/>
  <c r="Q83" i="7" s="1"/>
  <c r="Q87" i="7" s="1"/>
  <c r="Q88" i="7" s="1"/>
  <c r="Q80" i="7" l="1"/>
  <c r="N23" i="5" s="1"/>
  <c r="P23" i="5" s="1"/>
  <c r="Q89" i="7"/>
  <c r="E95" i="7" s="1"/>
  <c r="E96" i="7"/>
  <c r="Q23" i="5" l="1"/>
  <c r="O23" i="5"/>
  <c r="R76" i="7"/>
  <c r="R80" i="7" s="1"/>
  <c r="N24" i="5" s="1"/>
  <c r="Q24" i="5" s="1"/>
  <c r="R23" i="5"/>
  <c r="I96" i="7"/>
  <c r="I107" i="7"/>
  <c r="F42" i="7"/>
  <c r="F71" i="7"/>
  <c r="I91" i="7" s="1"/>
  <c r="R24" i="5" l="1"/>
  <c r="P24" i="5"/>
  <c r="O24" i="5"/>
  <c r="R83" i="7"/>
  <c r="E111" i="7" s="1"/>
  <c r="M37" i="4" s="1"/>
  <c r="M38" i="4" s="1"/>
  <c r="K71" i="7"/>
  <c r="N11" i="5" s="1"/>
  <c r="R87" i="7" l="1"/>
  <c r="E94" i="7" s="1"/>
  <c r="I94" i="7" s="1"/>
  <c r="S76" i="7"/>
  <c r="S80" i="7" s="1"/>
  <c r="F111" i="7" s="1"/>
  <c r="Q11" i="5"/>
  <c r="R11" i="5"/>
  <c r="P11" i="5"/>
  <c r="O11" i="5"/>
  <c r="F82" i="7"/>
  <c r="O141" i="7"/>
  <c r="E93" i="7"/>
  <c r="P96" i="7" s="1"/>
  <c r="P92" i="7" l="1"/>
  <c r="M92" i="7" s="1"/>
  <c r="N25" i="5"/>
  <c r="R25" i="5" s="1"/>
  <c r="R26" i="5" s="1"/>
  <c r="M95" i="7"/>
  <c r="I53" i="7"/>
  <c r="G56" i="7" s="1"/>
  <c r="H43" i="7" s="1"/>
  <c r="H45" i="7" s="1"/>
  <c r="F85" i="7"/>
  <c r="N27" i="5" s="1"/>
  <c r="I111" i="7"/>
  <c r="N37" i="4"/>
  <c r="N38" i="4" s="1"/>
  <c r="M96" i="7" l="1"/>
  <c r="Q25" i="5"/>
  <c r="Q26" i="5" s="1"/>
  <c r="U26" i="5" s="1"/>
  <c r="I95" i="7"/>
  <c r="O25" i="5"/>
  <c r="O26" i="5" s="1"/>
  <c r="S26" i="5" s="1"/>
  <c r="P25" i="5"/>
  <c r="P26" i="5" s="1"/>
  <c r="T26" i="5" s="1"/>
  <c r="N26" i="5"/>
  <c r="G58" i="7"/>
  <c r="G43" i="7"/>
  <c r="F43" i="7" s="1"/>
  <c r="F46" i="7" s="1"/>
  <c r="F108" i="7" s="1"/>
  <c r="G55" i="7"/>
  <c r="E118" i="7"/>
  <c r="AC37" i="4" s="1"/>
  <c r="AC38" i="4" s="1"/>
  <c r="G82" i="7"/>
  <c r="G85" i="7" s="1"/>
  <c r="N28" i="5" s="1"/>
  <c r="Q27" i="5"/>
  <c r="R27" i="5"/>
  <c r="O27" i="5"/>
  <c r="P27" i="5"/>
  <c r="G57" i="7" l="1"/>
  <c r="I61" i="7" s="1"/>
  <c r="D143" i="7" s="1"/>
  <c r="E108" i="7"/>
  <c r="N42" i="5"/>
  <c r="Q42" i="5" s="1"/>
  <c r="G42" i="7"/>
  <c r="G46" i="7" s="1"/>
  <c r="H42" i="7" s="1"/>
  <c r="H82" i="7"/>
  <c r="H85" i="7" s="1"/>
  <c r="N29" i="5" s="1"/>
  <c r="O28" i="5"/>
  <c r="P28" i="5"/>
  <c r="Q28" i="5"/>
  <c r="R28" i="5"/>
  <c r="E37" i="4"/>
  <c r="E38" i="4" s="1"/>
  <c r="G37" i="4"/>
  <c r="G38" i="4" s="1"/>
  <c r="F37" i="4" l="1"/>
  <c r="F38" i="4" s="1"/>
  <c r="N49" i="5"/>
  <c r="P49" i="5" s="1"/>
  <c r="P42" i="5"/>
  <c r="O42" i="5"/>
  <c r="R42" i="5"/>
  <c r="I62" i="7"/>
  <c r="F118" i="7"/>
  <c r="AD37" i="4" s="1"/>
  <c r="AD38" i="4" s="1"/>
  <c r="I60" i="7"/>
  <c r="I108" i="7"/>
  <c r="D37" i="4"/>
  <c r="D38" i="4" s="1"/>
  <c r="I82" i="7"/>
  <c r="I85" i="7" s="1"/>
  <c r="N30" i="5" s="1"/>
  <c r="O29" i="5"/>
  <c r="P29" i="5"/>
  <c r="Q29" i="5"/>
  <c r="R29" i="5"/>
  <c r="H46" i="7"/>
  <c r="E114" i="7" s="1"/>
  <c r="N43" i="5"/>
  <c r="F113" i="7"/>
  <c r="S37" i="4" s="1"/>
  <c r="S38" i="4" s="1"/>
  <c r="E113" i="7"/>
  <c r="R49" i="5" l="1"/>
  <c r="T49" i="5" s="1"/>
  <c r="O49" i="5"/>
  <c r="Q49" i="5"/>
  <c r="I118" i="7"/>
  <c r="J82" i="7"/>
  <c r="J85" i="7" s="1"/>
  <c r="N31" i="5" s="1"/>
  <c r="Q30" i="5"/>
  <c r="R30" i="5"/>
  <c r="O30" i="5"/>
  <c r="P30" i="5"/>
  <c r="T37" i="4"/>
  <c r="T38" i="4" s="1"/>
  <c r="Q43" i="5"/>
  <c r="O43" i="5"/>
  <c r="P43" i="5"/>
  <c r="R43" i="5"/>
  <c r="R37" i="4"/>
  <c r="R38" i="4" s="1"/>
  <c r="I113" i="7"/>
  <c r="I42" i="7"/>
  <c r="N44" i="5"/>
  <c r="F114" i="7"/>
  <c r="U37" i="4" s="1"/>
  <c r="U38" i="4" s="1"/>
  <c r="U49" i="5" l="1"/>
  <c r="S49" i="5"/>
  <c r="K82" i="7"/>
  <c r="K85" i="7" s="1"/>
  <c r="N32" i="5" s="1"/>
  <c r="Q31" i="5"/>
  <c r="R31" i="5"/>
  <c r="O31" i="5"/>
  <c r="P31" i="5"/>
  <c r="P44" i="5"/>
  <c r="O44" i="5"/>
  <c r="Q44" i="5"/>
  <c r="R44" i="5"/>
  <c r="I114" i="7"/>
  <c r="I46" i="7"/>
  <c r="J42" i="7" s="1"/>
  <c r="L82" i="7" l="1"/>
  <c r="L85" i="7" s="1"/>
  <c r="N33" i="5" s="1"/>
  <c r="E115" i="7"/>
  <c r="V37" i="4" s="1"/>
  <c r="V38" i="4" s="1"/>
  <c r="P32" i="5"/>
  <c r="Q32" i="5"/>
  <c r="R32" i="5"/>
  <c r="O32" i="5"/>
  <c r="F115" i="7"/>
  <c r="W37" i="4" s="1"/>
  <c r="W38" i="4" s="1"/>
  <c r="N45" i="5"/>
  <c r="E116" i="7"/>
  <c r="K42" i="7"/>
  <c r="K46" i="7" s="1"/>
  <c r="M82" i="7" l="1"/>
  <c r="M85" i="7" s="1"/>
  <c r="N34" i="5" s="1"/>
  <c r="P33" i="5"/>
  <c r="Q33" i="5"/>
  <c r="R33" i="5"/>
  <c r="O33" i="5"/>
  <c r="F117" i="7"/>
  <c r="N47" i="5"/>
  <c r="N48" i="5" s="1"/>
  <c r="I115" i="7"/>
  <c r="I116" i="7"/>
  <c r="X37" i="4"/>
  <c r="X38" i="4" s="1"/>
  <c r="F48" i="7"/>
  <c r="O143" i="7"/>
  <c r="P45" i="5"/>
  <c r="Q45" i="5"/>
  <c r="R45" i="5"/>
  <c r="O45" i="5"/>
  <c r="I48" i="7" l="1"/>
  <c r="N82" i="7"/>
  <c r="N85" i="7" s="1"/>
  <c r="N35" i="5" s="1"/>
  <c r="P34" i="5"/>
  <c r="R34" i="5"/>
  <c r="O34" i="5"/>
  <c r="Q34" i="5"/>
  <c r="I117" i="7"/>
  <c r="AA37" i="4"/>
  <c r="AA38" i="4" s="1"/>
  <c r="R47" i="5"/>
  <c r="R48" i="5" s="1"/>
  <c r="O47" i="5"/>
  <c r="O48" i="5" s="1"/>
  <c r="P47" i="5"/>
  <c r="P48" i="5" s="1"/>
  <c r="Q47" i="5"/>
  <c r="Q48" i="5" s="1"/>
  <c r="O82" i="7" l="1"/>
  <c r="O85" i="7" s="1"/>
  <c r="P35" i="5"/>
  <c r="Q35" i="5"/>
  <c r="R35" i="5"/>
  <c r="O35" i="5"/>
  <c r="U48" i="5"/>
  <c r="S48" i="5"/>
  <c r="T48" i="5"/>
  <c r="N36" i="5" l="1"/>
  <c r="Q36" i="5" s="1"/>
  <c r="P82" i="7"/>
  <c r="P85" i="7" s="1"/>
  <c r="N37" i="5" s="1"/>
  <c r="Q82" i="7" l="1"/>
  <c r="Q85" i="7" s="1"/>
  <c r="N38" i="5" s="1"/>
  <c r="P38" i="5" s="1"/>
  <c r="O36" i="5"/>
  <c r="R36" i="5"/>
  <c r="P36" i="5"/>
  <c r="Q37" i="5"/>
  <c r="R37" i="5"/>
  <c r="O37" i="5"/>
  <c r="P37" i="5"/>
  <c r="R82" i="7" l="1"/>
  <c r="R85" i="7" s="1"/>
  <c r="N39" i="5" s="1"/>
  <c r="R38" i="5"/>
  <c r="O38" i="5"/>
  <c r="Q38" i="5"/>
  <c r="S82" i="7" l="1"/>
  <c r="S85" i="7" s="1"/>
  <c r="E112" i="7" s="1"/>
  <c r="O142" i="7"/>
  <c r="O145" i="7" s="1"/>
  <c r="O146" i="7" s="1"/>
  <c r="R39" i="5"/>
  <c r="O39" i="5"/>
  <c r="Q39" i="5"/>
  <c r="P39" i="5"/>
  <c r="O37" i="4" l="1"/>
  <c r="G112" i="7"/>
  <c r="F132" i="7"/>
  <c r="E120" i="7"/>
  <c r="M97" i="7" s="1"/>
  <c r="N40" i="5"/>
  <c r="P93" i="7"/>
  <c r="F112" i="7"/>
  <c r="AF26" i="4" s="1"/>
  <c r="AF19" i="4" l="1"/>
  <c r="H112" i="7"/>
  <c r="I112" i="7" s="1"/>
  <c r="I120" i="7" s="1"/>
  <c r="P37" i="4"/>
  <c r="F134" i="7"/>
  <c r="D142" i="7" s="1"/>
  <c r="F142" i="7" s="1"/>
  <c r="F120" i="7"/>
  <c r="AF37" i="4" s="1"/>
  <c r="AF16" i="4"/>
  <c r="AF25" i="4"/>
  <c r="AF15" i="4"/>
  <c r="AF30" i="4"/>
  <c r="AF27" i="4"/>
  <c r="AF29" i="4"/>
  <c r="R40" i="5"/>
  <c r="R41" i="5" s="1"/>
  <c r="O40" i="5"/>
  <c r="O41" i="5" s="1"/>
  <c r="O50" i="5" s="1"/>
  <c r="P40" i="5"/>
  <c r="P41" i="5" s="1"/>
  <c r="P50" i="5" s="1"/>
  <c r="Q40" i="5"/>
  <c r="Q41" i="5" s="1"/>
  <c r="Q50" i="5" s="1"/>
  <c r="N41" i="5"/>
  <c r="N50" i="5" s="1"/>
  <c r="AF20" i="4"/>
  <c r="AF33" i="4"/>
  <c r="AF22" i="4"/>
  <c r="AF21" i="4"/>
  <c r="F143" i="7"/>
  <c r="AF18" i="4"/>
  <c r="M93" i="7"/>
  <c r="P95" i="7"/>
  <c r="P91" i="7"/>
  <c r="AF32" i="4"/>
  <c r="AF23" i="4"/>
  <c r="AF24" i="4"/>
  <c r="AF28" i="4"/>
  <c r="AF14" i="4"/>
  <c r="AF17" i="4"/>
  <c r="AF31" i="4"/>
  <c r="O38" i="4"/>
  <c r="Y43" i="4" s="1"/>
  <c r="T43" i="4"/>
  <c r="J109" i="7" l="1"/>
  <c r="J110" i="7"/>
  <c r="J113" i="7"/>
  <c r="J111" i="7"/>
  <c r="J114" i="7"/>
  <c r="J115" i="7"/>
  <c r="AF35" i="4"/>
  <c r="H142" i="7"/>
  <c r="H67" i="7"/>
  <c r="H143" i="7"/>
  <c r="M91" i="7"/>
  <c r="D141" i="7" s="1"/>
  <c r="E91" i="7"/>
  <c r="I93" i="7" s="1"/>
  <c r="I92" i="7"/>
  <c r="P38" i="4"/>
  <c r="Y42" i="4" s="1"/>
  <c r="T42" i="4"/>
  <c r="T44" i="4" s="1"/>
  <c r="AD43" i="4"/>
  <c r="U41" i="5"/>
  <c r="S41" i="5"/>
  <c r="T41" i="5"/>
  <c r="R50" i="5"/>
  <c r="J120" i="7" l="1"/>
  <c r="AF44" i="4"/>
  <c r="AF38" i="4"/>
  <c r="D145" i="7"/>
  <c r="F141" i="7"/>
  <c r="H141" i="7"/>
  <c r="AD42" i="4"/>
  <c r="Y44" i="4"/>
  <c r="AD44" i="4" s="1"/>
  <c r="S50" i="5"/>
  <c r="T50" i="5"/>
  <c r="U50" i="5"/>
  <c r="D146" i="7" l="1"/>
  <c r="F145" i="7"/>
  <c r="H145" i="7"/>
  <c r="F146" i="7" l="1"/>
  <c r="H146" i="7"/>
</calcChain>
</file>

<file path=xl/sharedStrings.xml><?xml version="1.0" encoding="utf-8"?>
<sst xmlns="http://schemas.openxmlformats.org/spreadsheetml/2006/main" count="1189" uniqueCount="696">
  <si>
    <t>SECTION A: CALVING AND DEATH RATE ASSUMPTIONS</t>
  </si>
  <si>
    <t>Cattle age start year .................</t>
  </si>
  <si>
    <t>Weaners</t>
  </si>
  <si>
    <t>Cattle age end year ....................</t>
  </si>
  <si>
    <t>Calves weaned/cows retained</t>
  </si>
  <si>
    <t>na</t>
  </si>
  <si>
    <t>Note 1:</t>
  </si>
  <si>
    <t>Deaths of weaners to 1 yr are deaths from weaning to age 1 year (interpret as 12 mths or more, but less than 24).</t>
  </si>
  <si>
    <t>Weaning 2 to 3 yrs is weaning % from mating at 2 yrs (interpret as 24 mths or more, but less than 36 mths),</t>
  </si>
  <si>
    <t>and is % weaned from cows MATED AND KEPT, e.g. if selling all empty cows, weaning rate will be % from pregnant cows (85% to 95%).</t>
  </si>
  <si>
    <t>SECTION B: SALE PRICES</t>
  </si>
  <si>
    <t>Age at sale ..............</t>
  </si>
  <si>
    <t>Heifers/cows .....</t>
  </si>
  <si>
    <t>Steers/bullocks ..</t>
  </si>
  <si>
    <t>Note 2:</t>
  </si>
  <si>
    <t>All prices are to be net of selling and freight costs and without GST.</t>
  </si>
  <si>
    <t>SECTION C: STEER AND BULLOCK HERD STRUCTURE</t>
  </si>
  <si>
    <t>Maximum male turnoff age (integer) ..........</t>
  </si>
  <si>
    <t xml:space="preserve">  (Enter 0 for weaners)</t>
  </si>
  <si>
    <t>Number available at start year ...........................</t>
  </si>
  <si>
    <t>Number reserved as bulls ..................................</t>
  </si>
  <si>
    <t>Transfers to bull herd ....................................</t>
  </si>
  <si>
    <t>Sales at each age ...........................................</t>
  </si>
  <si>
    <t>Total steers and bullocks sold .....................</t>
  </si>
  <si>
    <t xml:space="preserve">          Average price = </t>
  </si>
  <si>
    <t>SECTION D: BULL REQUIREMENTS</t>
  </si>
  <si>
    <t>Bull/cow ratio ...............................................</t>
  </si>
  <si>
    <t>Bulls required ......</t>
  </si>
  <si>
    <t>Bulls purchased/yr. % of bulls required ......</t>
  </si>
  <si>
    <t>@ price</t>
  </si>
  <si>
    <t>Home bred bulls kept/yr. % of required ......</t>
  </si>
  <si>
    <t>@ value</t>
  </si>
  <si>
    <t>Bulls sold/yr..................................................</t>
  </si>
  <si>
    <t>Calculated</t>
  </si>
  <si>
    <t>Bull deaths ....................................................</t>
  </si>
  <si>
    <t>Average value per head of bulls on hand ...............</t>
  </si>
  <si>
    <t>Net bull replacement cost (total) ..........................</t>
  </si>
  <si>
    <t>Net bull replacement cost per calf weaned ..........</t>
  </si>
  <si>
    <t>SECTION E: FEMALE HERD STRUCTURE</t>
  </si>
  <si>
    <t>Weaner heifers to be retained ................</t>
  </si>
  <si>
    <t xml:space="preserve">(Enter </t>
  </si>
  <si>
    <t>to give required AEs)</t>
  </si>
  <si>
    <t>Age at first joining (max 3 yrs) ................</t>
  </si>
  <si>
    <t>Note 3:</t>
  </si>
  <si>
    <t>Required herd size (AE) ........................</t>
  </si>
  <si>
    <t>Cow age start year ..............................</t>
  </si>
  <si>
    <t>Cow age end year ...............................</t>
  </si>
  <si>
    <t>Cows/heifers available start year ...........</t>
  </si>
  <si>
    <t>Sales unmated, % start yr cows ....</t>
  </si>
  <si>
    <t>Sales after mating, % of number mated ....</t>
  </si>
  <si>
    <t>Unspayed cows sold ...........................</t>
  </si>
  <si>
    <t>Cows mated in each age group .............</t>
  </si>
  <si>
    <t>Mated cows retained in each group .......</t>
  </si>
  <si>
    <t>Calves weaned from each group ............</t>
  </si>
  <si>
    <t>Total female sales ..................</t>
  </si>
  <si>
    <t xml:space="preserve">      Average female price .........................</t>
  </si>
  <si>
    <t xml:space="preserve">     Female sales # ..........</t>
  </si>
  <si>
    <t>Total cows and heifers mated .</t>
  </si>
  <si>
    <t>Calves weaned ......................</t>
  </si>
  <si>
    <t xml:space="preserve">      Breeder deaths .................................</t>
  </si>
  <si>
    <t>Females mated and retained</t>
  </si>
  <si>
    <t xml:space="preserve">      Breeder deaths % .............................</t>
  </si>
  <si>
    <t>Note 4:</t>
  </si>
  <si>
    <t>If weaner sales are negative,</t>
  </si>
  <si>
    <t>reduce breeder sales and spays</t>
  </si>
  <si>
    <t>or reduce breeder culling age.</t>
  </si>
  <si>
    <t>SECTION F: TOTAL CATTLE AND ADULT EQUIVALENTS</t>
  </si>
  <si>
    <t>Age at Start of</t>
  </si>
  <si>
    <t>Number Kept</t>
  </si>
  <si>
    <t>Number</t>
  </si>
  <si>
    <t>AE/Hd</t>
  </si>
  <si>
    <t xml:space="preserve">Total </t>
  </si>
  <si>
    <t>Rating Period</t>
  </si>
  <si>
    <t>Whole Year</t>
  </si>
  <si>
    <t>Sold</t>
  </si>
  <si>
    <t>Kept</t>
  </si>
  <si>
    <t xml:space="preserve">AEs </t>
  </si>
  <si>
    <t>Extra for cows weaning a calf ..</t>
  </si>
  <si>
    <t>Weaners 5 months ................</t>
  </si>
  <si>
    <t>Heifers 1 yr but less than 2 ..</t>
  </si>
  <si>
    <t>Heifers 2 yrs but less than 3 .</t>
  </si>
  <si>
    <t>Cows 3 yrs plus ....................</t>
  </si>
  <si>
    <t>Steers 1 yr but less than 2 .....</t>
  </si>
  <si>
    <t>Steers 2 yrs but less than 3 ...</t>
  </si>
  <si>
    <t xml:space="preserve">Bullocks 3 yrs but less than 4 </t>
  </si>
  <si>
    <t>Bullocks 4 yrs but less than 5</t>
  </si>
  <si>
    <t>Bulls all ages ........................</t>
  </si>
  <si>
    <t>Total number ...........</t>
  </si>
  <si>
    <t>Total AE ....</t>
  </si>
  <si>
    <t>SECTION G: CATTLE ENTERPRISE COSTS</t>
  </si>
  <si>
    <t>Husbandry costs/head</t>
  </si>
  <si>
    <t>$/Heifer or cow aged:</t>
  </si>
  <si>
    <t>$/Steer or bullock aged:</t>
  </si>
  <si>
    <t>$/Bull</t>
  </si>
  <si>
    <t>(variable costs only)</t>
  </si>
  <si>
    <t>Wnr to 1 yr</t>
  </si>
  <si>
    <t>1-2yrs</t>
  </si>
  <si>
    <t>2-3yrs</t>
  </si>
  <si>
    <t>3yrs +</t>
  </si>
  <si>
    <t xml:space="preserve">   Female</t>
  </si>
  <si>
    <t>3-4yrs</t>
  </si>
  <si>
    <t>4-5yrs</t>
  </si>
  <si>
    <t xml:space="preserve">  ......</t>
  </si>
  <si>
    <t>Husbandry costs on "keepers"</t>
  </si>
  <si>
    <t>Husbandry costs on sale cattle</t>
  </si>
  <si>
    <t>Note 5:</t>
  </si>
  <si>
    <t>For detail on husbandry costs, refer to the associated Huscosts file.</t>
  </si>
  <si>
    <t>SECTION H: CALCULATION OF GROSS MARGINS AND HERD VALUE</t>
  </si>
  <si>
    <t xml:space="preserve">$/Herd </t>
  </si>
  <si>
    <t xml:space="preserve">$/Beast </t>
  </si>
  <si>
    <t>$/A.E.</t>
  </si>
  <si>
    <t>Capital Value of Herd (after sales) ................</t>
  </si>
  <si>
    <t xml:space="preserve"> $ Total</t>
  </si>
  <si>
    <t>Net cattle sales</t>
  </si>
  <si>
    <t>Value of cows, heifers and new spays ...........</t>
  </si>
  <si>
    <t>Husbandry costs</t>
  </si>
  <si>
    <t>Value of steers and bulls ............................</t>
  </si>
  <si>
    <t>Gross Margin ....</t>
  </si>
  <si>
    <t>Total ...................................................................</t>
  </si>
  <si>
    <t>GM less interest</t>
  </si>
  <si>
    <t>Note: AEs for dry cattle are based on relativity to a standard weight of beast</t>
  </si>
  <si>
    <t xml:space="preserve">         carried for 12 months. International standard is 455 kg (1000 lbs).</t>
  </si>
  <si>
    <t xml:space="preserve">         AEs for breeders are based on weight, plus a loading for breeders that</t>
  </si>
  <si>
    <t xml:space="preserve">         wean a calf. This loading represents the extra nutritional requirement</t>
  </si>
  <si>
    <t xml:space="preserve">         of a cow that rears a calf, relative to a dry cow. The suggested loading</t>
  </si>
  <si>
    <t xml:space="preserve">         for rearing a calf is 0.35 AE. This covers the extra load of pregnancy,</t>
  </si>
  <si>
    <t xml:space="preserve">         lactation, and pasture consumed by the calf itself up to age 5 months,</t>
  </si>
  <si>
    <t xml:space="preserve">         at which point the weaner begins to be rated in its own right.</t>
  </si>
  <si>
    <t xml:space="preserve">         AEs are calculated for a PERIOD of time, not for a point in time. Except</t>
  </si>
  <si>
    <t xml:space="preserve">         for weaners and sale cattle, this will be 12 months, e.g. from age 12 mths</t>
  </si>
  <si>
    <t xml:space="preserve">         for keepers, and less for those sold. All sale cattle will be rated from their</t>
  </si>
  <si>
    <t xml:space="preserve">         nominal birth month to their sale month, e.g. steers sold at age 18 months</t>
  </si>
  <si>
    <t xml:space="preserve">         will be rated for six months (age 12 to age 18 mths) in their sale year.</t>
  </si>
  <si>
    <t>Calving peak month</t>
  </si>
  <si>
    <t xml:space="preserve">  (Integer 1-12)  =</t>
  </si>
  <si>
    <t>Extra AE for cows weaning a calf</t>
  </si>
  <si>
    <t>Description</t>
  </si>
  <si>
    <t>Mths at</t>
  </si>
  <si>
    <t xml:space="preserve">  Cattle carried through whole year:</t>
  </si>
  <si>
    <t xml:space="preserve">  Sale stock carried past rating boundary:</t>
  </si>
  <si>
    <t>Sale</t>
  </si>
  <si>
    <t>Month</t>
  </si>
  <si>
    <t>at Start of</t>
  </si>
  <si>
    <t>Start of</t>
  </si>
  <si>
    <t>End of</t>
  </si>
  <si>
    <t>Months</t>
  </si>
  <si>
    <t>Lowest or</t>
  </si>
  <si>
    <t>Highest or</t>
  </si>
  <si>
    <t>AE/hd</t>
  </si>
  <si>
    <t>Start</t>
  </si>
  <si>
    <t>Rating</t>
  </si>
  <si>
    <t>Rated</t>
  </si>
  <si>
    <t>Start Wt</t>
  </si>
  <si>
    <t>End Wt.</t>
  </si>
  <si>
    <t>Weight</t>
  </si>
  <si>
    <t>(Text)</t>
  </si>
  <si>
    <t>Heifers 1 yr .............................</t>
  </si>
  <si>
    <t>Heifers 2 yrs ............................</t>
  </si>
  <si>
    <t>Cows 3 yrs onwards .................</t>
  </si>
  <si>
    <t>Steers 1 yr ..............................</t>
  </si>
  <si>
    <t>Steers 2 yrs ..........................</t>
  </si>
  <si>
    <t>Bullocks 3 yrs .........................</t>
  </si>
  <si>
    <t>Bullocks 4 yrs...........................</t>
  </si>
  <si>
    <t>Bulls all ages ..........................</t>
  </si>
  <si>
    <t>Note: One adult equivalent (AE) can be thought of as the amount of feed consumed in 12 months by a non-lactating animal of average weight 455 kg.</t>
  </si>
  <si>
    <t xml:space="preserve">        Please ensure that weights on growing cattle correspond to the ages at start and end of rating, and that "weight at sale" is the weight of what is actually sold.</t>
  </si>
  <si>
    <t xml:space="preserve">        For cows and bulls, use the same weight for "lowest" and "highest", with this weight representing an average across the group throughout the year.</t>
  </si>
  <si>
    <t>Note:</t>
  </si>
  <si>
    <t>Age and sex classes are labelled in years, though age in months may be the year age plus one to 11 months.</t>
  </si>
  <si>
    <t>Precise age in months is specified in the associated AECalc file.</t>
  </si>
  <si>
    <t>Group Description:</t>
  </si>
  <si>
    <t>Liveweight</t>
  </si>
  <si>
    <t>Price</t>
  </si>
  <si>
    <t>Commission</t>
  </si>
  <si>
    <t>Other selling</t>
  </si>
  <si>
    <t>Freight</t>
  </si>
  <si>
    <t>Gross</t>
  </si>
  <si>
    <t>Total Selling &amp;</t>
  </si>
  <si>
    <t>Net</t>
  </si>
  <si>
    <t>Kg/hd</t>
  </si>
  <si>
    <t>$/kg</t>
  </si>
  <si>
    <t>% of Value</t>
  </si>
  <si>
    <t>$/hd</t>
  </si>
  <si>
    <t>Freight Costs</t>
  </si>
  <si>
    <t>Heifer weaners 5-11 mths</t>
  </si>
  <si>
    <t>Heifers 1 year</t>
  </si>
  <si>
    <t>Heifers 2 years</t>
  </si>
  <si>
    <t>Cows 3 years</t>
  </si>
  <si>
    <t>Cows 4 years</t>
  </si>
  <si>
    <t>Cows 5 years</t>
  </si>
  <si>
    <t>Cows 6 years</t>
  </si>
  <si>
    <t>Cows 7 years</t>
  </si>
  <si>
    <t>Cows 8 years</t>
  </si>
  <si>
    <t>Cows 9 years</t>
  </si>
  <si>
    <t>Cows 10 years</t>
  </si>
  <si>
    <t>Cows 11 years</t>
  </si>
  <si>
    <t>Cows 12 years</t>
  </si>
  <si>
    <t>Cows 13 years</t>
  </si>
  <si>
    <t>Cows 14 years</t>
  </si>
  <si>
    <t>Steer weaners 5-11 mths</t>
  </si>
  <si>
    <t>Steers 1 year</t>
  </si>
  <si>
    <t>Steers 2 years</t>
  </si>
  <si>
    <t>Steers 3 years</t>
  </si>
  <si>
    <t>Steers 4 years</t>
  </si>
  <si>
    <t>Cull bulls</t>
  </si>
  <si>
    <t xml:space="preserve">FREIGHT AND SELLING COSTS </t>
  </si>
  <si>
    <t>Average</t>
  </si>
  <si>
    <t>Head Per</t>
  </si>
  <si>
    <t>Transaction levy</t>
  </si>
  <si>
    <t>12.2m deck</t>
  </si>
  <si>
    <t>Cattle 80 kg &amp; over ......</t>
  </si>
  <si>
    <t>$5.00/hd</t>
  </si>
  <si>
    <t>Commission - paddock sales</t>
  </si>
  <si>
    <t>Commission - saleyard</t>
  </si>
  <si>
    <t>Transport Cost Calculator:</t>
  </si>
  <si>
    <t>Transport cost $/deck/km ..</t>
  </si>
  <si>
    <t>Distance (km) ...........</t>
  </si>
  <si>
    <t>Number of head per deck ....</t>
  </si>
  <si>
    <t>Freight cost/head ...</t>
  </si>
  <si>
    <t>Maximum for lighter</t>
  </si>
  <si>
    <t>Other selling costs could include yard dues, tags, NLIS</t>
  </si>
  <si>
    <t>cattle = 44/deck</t>
  </si>
  <si>
    <t>reading, dipping &amp; weighing fees, and hay.</t>
  </si>
  <si>
    <t>An alternate calculation method for loading density is based on 10,500 kg/deck</t>
  </si>
  <si>
    <t>Name:</t>
  </si>
  <si>
    <t>Date:</t>
  </si>
  <si>
    <t>File:</t>
  </si>
  <si>
    <t>HUSBANDRY COSTS ON CATTLE KEPT FOR WHOLE YEAR &amp; ON SALE CATTLE</t>
  </si>
  <si>
    <t xml:space="preserve">      Husbandry Cost $/Weaner:</t>
  </si>
  <si>
    <t xml:space="preserve">    Husbandry Cost $/Female</t>
  </si>
  <si>
    <t xml:space="preserve">    Husbandry Cost $/Steer</t>
  </si>
  <si>
    <t xml:space="preserve">       Herd Bulls $/hd:</t>
  </si>
  <si>
    <t>Heifers</t>
  </si>
  <si>
    <t>Steers</t>
  </si>
  <si>
    <t>1-2 yrs</t>
  </si>
  <si>
    <t>2-3 yrs</t>
  </si>
  <si>
    <t>3 yrs +</t>
  </si>
  <si>
    <t>3-4 yrs</t>
  </si>
  <si>
    <t>4-5 yrs</t>
  </si>
  <si>
    <t>Bulls</t>
  </si>
  <si>
    <t>Total husbandry cost/group ...</t>
  </si>
  <si>
    <t>Total husbandry/hd on keepers</t>
  </si>
  <si>
    <t>Total husbandry/hd on sale cattle</t>
  </si>
  <si>
    <t xml:space="preserve">                                                                                Note:</t>
  </si>
  <si>
    <t>and the % of the group to which it applies. Then calculate item cost times % of group and enter that amount under the animal category,</t>
  </si>
  <si>
    <t>e.g. if the tail 30% of the steers 1-2 yrs incur a $30/hd cost for production feeding, the description might be "Production feeding $30/hd time 30%"</t>
  </si>
  <si>
    <t>The cost entry under steers 1-2 yrs would be $9.00. If necessary use two lines to ensure adequate description.</t>
  </si>
  <si>
    <t>Steers 5 years</t>
  </si>
  <si>
    <t>Bullocks 5 yrs...........................</t>
  </si>
  <si>
    <t xml:space="preserve">                                              To display weaning % calculations, place cursor on column of interest, or block of columns, and press F12 key (Sections A and E only).</t>
  </si>
  <si>
    <t xml:space="preserve">   No entries allowed for bullocks past 5 yrs of age</t>
  </si>
  <si>
    <t>Weaners can mean 5-11 months, yearlings 12-23 etc. Precise sale ages in months are defined for this file in the associated AECalc file.</t>
  </si>
  <si>
    <t>"Spays" include cows set aside pre-mating</t>
  </si>
  <si>
    <t>(e.g. paddocked separately for fattening).</t>
  </si>
  <si>
    <t>Default rule is to sell the year after spaying.</t>
  </si>
  <si>
    <t>Surplus weaner heifers sold or spayed ...</t>
  </si>
  <si>
    <t>Weaner % spayed =</t>
  </si>
  <si>
    <t>Number =</t>
  </si>
  <si>
    <t xml:space="preserve">                                                                To display weaning % calculations, place cursor on column of interest, or block of columns, and press F12 key (Sections A and E only).</t>
  </si>
  <si>
    <t xml:space="preserve">          Weaner heifer cull ................</t>
  </si>
  <si>
    <t xml:space="preserve">          Female/total sales .................</t>
  </si>
  <si>
    <t xml:space="preserve">          Turnoff/total herd .................</t>
  </si>
  <si>
    <t xml:space="preserve">          Weaners/all cows mated ......</t>
  </si>
  <si>
    <t xml:space="preserve">          Weaners/cows surviving ......</t>
  </si>
  <si>
    <t xml:space="preserve">          Weaners/cows mated &amp; kept</t>
  </si>
  <si>
    <t>Number kept whole year equals number at start of year</t>
  </si>
  <si>
    <t>plus purchases (bulls), less sales, less spays (cows).</t>
  </si>
  <si>
    <t>Spays kept whole year equals carryovers, plus new spays,</t>
  </si>
  <si>
    <t>AE ratings on spayed females are calculated from equivalent</t>
  </si>
  <si>
    <t>classes of entires, weighted by numbers on hand or sold.</t>
  </si>
  <si>
    <t>Bullocks 5 yrs but less than 6</t>
  </si>
  <si>
    <t>5-6yrs</t>
  </si>
  <si>
    <t>WORKSHEET RUN SUMMARIES</t>
  </si>
  <si>
    <t>Note: To delete column headings, highlight with cursor and click "Restore formula results ......" toolbar button.</t>
  </si>
  <si>
    <t>Total adult equivalents .........</t>
  </si>
  <si>
    <t>Total cattle carried ..............</t>
  </si>
  <si>
    <t>Weaner heifers retained ....</t>
  </si>
  <si>
    <t>Total breeders mated .........</t>
  </si>
  <si>
    <t>Total breeders mated &amp; kept</t>
  </si>
  <si>
    <t>Total calves weaned .............</t>
  </si>
  <si>
    <t>Weaners/total cows mated ..</t>
  </si>
  <si>
    <t>Wnrs/cows mated and kept</t>
  </si>
  <si>
    <t>Overall breeder deaths .......</t>
  </si>
  <si>
    <t>Female sales/total sales %</t>
  </si>
  <si>
    <t>Total cows and heifers sold</t>
  </si>
  <si>
    <t>Maximum cow culling age</t>
  </si>
  <si>
    <t>Heifer joining age ..............</t>
  </si>
  <si>
    <t xml:space="preserve">Total steers &amp; bullocks sold </t>
  </si>
  <si>
    <t>Max bullock turnoff age ......</t>
  </si>
  <si>
    <t>Average female price ...........</t>
  </si>
  <si>
    <t>Average steer/bullock price</t>
  </si>
  <si>
    <t>Capital value of herd ...........</t>
  </si>
  <si>
    <t>Imputed interest on herd val.</t>
  </si>
  <si>
    <t>Net cattle sales ....................</t>
  </si>
  <si>
    <t>Direct costs excluding bulls</t>
  </si>
  <si>
    <t>Bull replacement .................</t>
  </si>
  <si>
    <t>Gross margin for herd ..........</t>
  </si>
  <si>
    <t>GM after imputed interest ...</t>
  </si>
  <si>
    <t>GM per adult equivalent ......</t>
  </si>
  <si>
    <t>GM/AE after interest ...........</t>
  </si>
  <si>
    <t>Note Pad:</t>
  </si>
  <si>
    <t>PRICES COMPUTED BY BREAKEVEN</t>
  </si>
  <si>
    <t xml:space="preserve">   Steers 0 yrs (weaners) ........</t>
  </si>
  <si>
    <t xml:space="preserve">Note: </t>
  </si>
  <si>
    <t xml:space="preserve">These prices, used only for the   </t>
  </si>
  <si>
    <t xml:space="preserve">   Steers 1.0-1.5 yrs ...............</t>
  </si>
  <si>
    <t>specified turnoff age, assuming</t>
  </si>
  <si>
    <t xml:space="preserve">   Steers 2.0-2.5 yrs ...............</t>
  </si>
  <si>
    <t>ALL steers are sold at that age,</t>
  </si>
  <si>
    <t xml:space="preserve">   Bullocks 3.0-3.5 yrs ...........</t>
  </si>
  <si>
    <t>will give the same GM/AE after</t>
  </si>
  <si>
    <t xml:space="preserve">   Bullocks 4.0-4.5 yrs ..........</t>
  </si>
  <si>
    <t>interest as current entries.</t>
  </si>
  <si>
    <t>*  Blank space immediately above can be used for notes. Type only in leftmost cells.</t>
  </si>
  <si>
    <t>Software devised by W. E. Holmes, Townsville, Qld</t>
  </si>
  <si>
    <t xml:space="preserve">        feed intake could be 20% higher than for unsupplemented cattle. When comparing herds with and without supplementation, reduce the total AE of the </t>
  </si>
  <si>
    <t xml:space="preserve">         to 24 mths. The weaner group will be rated for 7 months (ages 5 to 12 mths)</t>
  </si>
  <si>
    <t>Suggested procedure for cost items applied to only part of a group is to describe the cost item, including in the description the cost of the item</t>
  </si>
  <si>
    <t xml:space="preserve">   Total husbandry costs on sale cattle</t>
  </si>
  <si>
    <t xml:space="preserve">   Total husbandry costs on "keepers"</t>
  </si>
  <si>
    <t>5-6 yrs</t>
  </si>
  <si>
    <t>Standard weight of one AE (Kg)</t>
  </si>
  <si>
    <t xml:space="preserve">less sales  </t>
  </si>
  <si>
    <t>If 1,  % joined =</t>
  </si>
  <si>
    <t>EXTRACT OF DATA FOR TRANSFER TO BREEDCOW</t>
  </si>
  <si>
    <t>This calculator is provided to allow the husbandry (variable) costs used in Breedcowplus to be expressed and stored in more detail.</t>
  </si>
  <si>
    <t>Husbandry, or variable, costs are those that meet the test of "one more animal, one more unit of cost" (see Breedcowplus manual).</t>
  </si>
  <si>
    <t>Interest on herd capital</t>
  </si>
  <si>
    <t>Cow culling age (integer, max 13) ..........</t>
  </si>
  <si>
    <t>Joining age</t>
  </si>
  <si>
    <t>Conception %</t>
  </si>
  <si>
    <t>Opening breeders</t>
  </si>
  <si>
    <t>Conception losses %</t>
  </si>
  <si>
    <t>Number mated</t>
  </si>
  <si>
    <t>Sales %</t>
  </si>
  <si>
    <t>Brand %</t>
  </si>
  <si>
    <t>Number retained</t>
  </si>
  <si>
    <t>Calves weaned/total cows mated</t>
  </si>
  <si>
    <t>for this age of breeders will be:</t>
  </si>
  <si>
    <t>Sale of empties %</t>
  </si>
  <si>
    <t>Calves weaned</t>
  </si>
  <si>
    <t>Sale of pregnants %</t>
  </si>
  <si>
    <t>Display WeanRate Workings</t>
  </si>
  <si>
    <t>Opening cows</t>
  </si>
  <si>
    <t>Cows mated</t>
  </si>
  <si>
    <t>Number sold after mating</t>
  </si>
  <si>
    <t>Formula</t>
  </si>
  <si>
    <t>Cows mated and retained</t>
  </si>
  <si>
    <t>Cow sales after mating/cows mated</t>
  </si>
  <si>
    <t>Cow sales after mating/opening cows</t>
  </si>
  <si>
    <t>Weaning/cows mated &amp; retained</t>
  </si>
  <si>
    <t>Weaning/total cows mated</t>
  </si>
  <si>
    <t>Cows spayed or surplus pre-mating, % of start year</t>
  </si>
  <si>
    <t xml:space="preserve">      Average price breeders ........</t>
  </si>
  <si>
    <t xml:space="preserve">     Breeder sales # ............</t>
  </si>
  <si>
    <t xml:space="preserve">        Therefore, if average feed consumption is 2% of bodyweight, this would be equivalent to approx 3,300 kg dry matter per year for one AE.</t>
  </si>
  <si>
    <t xml:space="preserve">        Cattle supplemented with phosphorus or urea will eat more than unsupplemented cattle of the same bodyweight. For full-year supplementation,</t>
  </si>
  <si>
    <t>Female</t>
  </si>
  <si>
    <t>Spays</t>
  </si>
  <si>
    <t>$/Spayed</t>
  </si>
  <si>
    <t>All ages</t>
  </si>
  <si>
    <t>Steer or bullock age group ...................................</t>
  </si>
  <si>
    <t>Optional sales % ...............................................</t>
  </si>
  <si>
    <t>Steer or bullock age in months ..........................</t>
  </si>
  <si>
    <t>60 plus</t>
  </si>
  <si>
    <t xml:space="preserve"> </t>
  </si>
  <si>
    <t xml:space="preserve">   </t>
  </si>
  <si>
    <t>Software devised by W. E. Holmes (Townsville) &amp;</t>
  </si>
  <si>
    <t>M. T. Sullivan (Rockhampton), Qld</t>
  </si>
  <si>
    <t xml:space="preserve">        supplemented herd to ensure a fair comparison (17% reduction will equate to 20% extra feed consumption), applying pro-rata reduction for part-year supplementation.</t>
  </si>
  <si>
    <t>Source for loading density: SCARM (2002) Australian Model Code of Practice for the Welfare of Animals, Land Transport of Cattle</t>
  </si>
  <si>
    <t>Primary Industries Report Series 77, Publishers: CSIRO, available at http://www.publish.csiro.au/nid/22/pid/2483.htm</t>
  </si>
  <si>
    <t>5 to 11</t>
  </si>
  <si>
    <t>12 to 23</t>
  </si>
  <si>
    <t>24 to 35</t>
  </si>
  <si>
    <t>36 to 47</t>
  </si>
  <si>
    <t>48 to 59</t>
  </si>
  <si>
    <t>Spays or unmated 3 yrs</t>
  </si>
  <si>
    <t>Spays or unmated 4 yrs</t>
  </si>
  <si>
    <t>Spays or unmated 5 yrs</t>
  </si>
  <si>
    <t>Spays or unmated 6 yrs</t>
  </si>
  <si>
    <t>Spays or unmated 7 yrs</t>
  </si>
  <si>
    <t>Spays or unmated 8 yrs</t>
  </si>
  <si>
    <t>Spays or unmated 9 yrs</t>
  </si>
  <si>
    <t>Spays or unmated 10 yrs</t>
  </si>
  <si>
    <t>Spays or unmated 11 yrs</t>
  </si>
  <si>
    <t>Spays or unmated 12 yrs</t>
  </si>
  <si>
    <t>Spays or unmated 13 yrs</t>
  </si>
  <si>
    <t>Spays or unmated 14 yrs</t>
  </si>
  <si>
    <t>Spays or unmated 2 yrs</t>
  </si>
  <si>
    <t>Spays or unmated 1 yr</t>
  </si>
  <si>
    <t xml:space="preserve"> $/Spayed or unmated</t>
  </si>
  <si>
    <t>Spays or unmated females</t>
  </si>
  <si>
    <t>Spayed or unmated cows from previous years .........</t>
  </si>
  <si>
    <t>Cows spayed or unmated at start of year ................</t>
  </si>
  <si>
    <t>Sales of spayed or unmated cows; % carryover no....</t>
  </si>
  <si>
    <t>Spayed or unmated cows sold ...............................</t>
  </si>
  <si>
    <t>Cows and heifers spayed or unmated</t>
  </si>
  <si>
    <t xml:space="preserve">      Average price spayed or unmated</t>
  </si>
  <si>
    <t xml:space="preserve">     Spay or unmated sales # </t>
  </si>
  <si>
    <t xml:space="preserve">     Spay or unmated deaths # </t>
  </si>
  <si>
    <t xml:space="preserve">     Spay or unmated deaths %</t>
  </si>
  <si>
    <t>Spayed or unmated females all ages .....</t>
  </si>
  <si>
    <t>Value of carryover spays or unmated females</t>
  </si>
  <si>
    <t>One yr old heifer spay and unmated % ....</t>
  </si>
  <si>
    <t>Two yr old heifer spay and unmated % .....</t>
  </si>
  <si>
    <t>Calves 5 months .................</t>
  </si>
  <si>
    <t>Category</t>
  </si>
  <si>
    <t>total</t>
  </si>
  <si>
    <t>Net bull replacement*</t>
  </si>
  <si>
    <t>*Note: Bull sales are included in net bull replacement, not net cattle sales</t>
  </si>
  <si>
    <t>Weaner heifer sale &amp; spay</t>
  </si>
  <si>
    <t>One yr old heifer sales %</t>
  </si>
  <si>
    <t>Two yr old heifer sales %</t>
  </si>
  <si>
    <t>Expected conception rate for age group (%)</t>
  </si>
  <si>
    <t>Expected calf loss from conception to weaning (%)^</t>
  </si>
  <si>
    <t>Proportion of empties (PTE) sold (%)</t>
  </si>
  <si>
    <t>Proportion of pregnants sold (%)</t>
  </si>
  <si>
    <t>This is the percentage of mated females expected to show as pregnant at a subsequent pregnancy testing</t>
  </si>
  <si>
    <t>^ This is the percentage of mated females that test positive at pregnancy testing but then do not produce a weaner. Sometimes called PTIC empties</t>
  </si>
  <si>
    <t>* These values are calculated with the Preg test macro. Complete Rows 11 to 15 of Section A and then run the macro</t>
  </si>
  <si>
    <t>Male death rate</t>
  </si>
  <si>
    <t>Spayed or unmated female death rate</t>
  </si>
  <si>
    <t>Female death rate</t>
  </si>
  <si>
    <t>Number pregnant</t>
  </si>
  <si>
    <t>Number empty</t>
  </si>
  <si>
    <t>Number PTIC empties</t>
  </si>
  <si>
    <t>Number empties sold</t>
  </si>
  <si>
    <t>Number PTIC empties sold</t>
  </si>
  <si>
    <t>Number pregnants sold</t>
  </si>
  <si>
    <t>Total sold</t>
  </si>
  <si>
    <t>Number remaining pregnant</t>
  </si>
  <si>
    <t>Paddock</t>
  </si>
  <si>
    <t>weight at sale</t>
  </si>
  <si>
    <t>Weight loss</t>
  </si>
  <si>
    <t>Sale weight</t>
  </si>
  <si>
    <t>to sale (%)</t>
  </si>
  <si>
    <t>weight Kg/hd</t>
  </si>
  <si>
    <t xml:space="preserve">Gross </t>
  </si>
  <si>
    <t xml:space="preserve">Selling </t>
  </si>
  <si>
    <t>Sales</t>
  </si>
  <si>
    <t>Costs</t>
  </si>
  <si>
    <t>Number in each class</t>
  </si>
  <si>
    <t>Total cost of treatments</t>
  </si>
  <si>
    <t>Total sales number</t>
  </si>
  <si>
    <t>Total treatment costs on sold cattle</t>
  </si>
  <si>
    <t>Average treatment cost per head sold</t>
  </si>
  <si>
    <t>Total kept number</t>
  </si>
  <si>
    <t>Total treatment costs on kept cattle</t>
  </si>
  <si>
    <t>Average treatment cost per head kept</t>
  </si>
  <si>
    <t>Total treated</t>
  </si>
  <si>
    <t>Total treatment costs</t>
  </si>
  <si>
    <t>Average treatment cost per head</t>
  </si>
  <si>
    <t>AECALC - Adult Equivalents Calculator - Version 6.02</t>
  </si>
  <si>
    <t>PRICES - Net price calculator - Version 6.02</t>
  </si>
  <si>
    <t>HUSCOSTS - Husbandry Costs Calculator - Version 6.02</t>
  </si>
  <si>
    <t>BREEDCOW - Successor to Bcowplus - Version 6.02</t>
  </si>
  <si>
    <t>COMMENTS - comments and notes - Version 6.02</t>
  </si>
  <si>
    <t xml:space="preserve">  (Excludes calves sold in PTIC cows)</t>
  </si>
  <si>
    <t>Sale of PTIC empties *</t>
  </si>
  <si>
    <t>* Sale of PTIC empties has not been included in this version</t>
  </si>
  <si>
    <t>Calculated net sale value</t>
  </si>
  <si>
    <t xml:space="preserve">Expected net sale values </t>
  </si>
  <si>
    <t>required to match price at selected sale age</t>
  </si>
  <si>
    <t>from Prices worksheet</t>
  </si>
  <si>
    <t xml:space="preserve">If the calculated breakeven is lower than the expected </t>
  </si>
  <si>
    <t>sale value for any class, that age of sale is likely</t>
  </si>
  <si>
    <t>to be more profitable than the selected sale age</t>
  </si>
  <si>
    <t>Where a number of sale ages are more profitable than</t>
  </si>
  <si>
    <t>the selected sale age, gross margins per AE after</t>
  </si>
  <si>
    <t>interest should be calculated for each sale age to identify</t>
  </si>
  <si>
    <t>the most profitable age of sale for steers</t>
  </si>
  <si>
    <t>Display PregTest Workings - Version 6.02</t>
  </si>
  <si>
    <t>Number able to mate</t>
  </si>
  <si>
    <t>Cow culling age</t>
  </si>
  <si>
    <t>Kilograms</t>
  </si>
  <si>
    <t>beef</t>
  </si>
  <si>
    <t>Gross $/kg</t>
  </si>
  <si>
    <t>Selling costs/kg</t>
  </si>
  <si>
    <t>Net $/kg</t>
  </si>
  <si>
    <t>Category 12</t>
  </si>
  <si>
    <t>Category 14</t>
  </si>
  <si>
    <t>Category 15</t>
  </si>
  <si>
    <t>Category 16</t>
  </si>
  <si>
    <t>Category 17</t>
  </si>
  <si>
    <t>Category 18</t>
  </si>
  <si>
    <t>Category 19</t>
  </si>
  <si>
    <t>Category 20</t>
  </si>
  <si>
    <t xml:space="preserve">Expected steer and heifer growth path pre weaning </t>
  </si>
  <si>
    <t>Average calving date</t>
  </si>
  <si>
    <t>Expected</t>
  </si>
  <si>
    <t xml:space="preserve">Steer growth </t>
  </si>
  <si>
    <t>Heifer growth</t>
  </si>
  <si>
    <t>Average weaning date</t>
  </si>
  <si>
    <t>Cumulative months</t>
  </si>
  <si>
    <t>Date</t>
  </si>
  <si>
    <t>steer weight gain</t>
  </si>
  <si>
    <t>Heifer weight gain</t>
  </si>
  <si>
    <t>Age at weaning (mths)</t>
  </si>
  <si>
    <t>months</t>
  </si>
  <si>
    <t>from birth</t>
  </si>
  <si>
    <t>calculation</t>
  </si>
  <si>
    <t>per day</t>
  </si>
  <si>
    <t>Birth weight</t>
  </si>
  <si>
    <t>Days to weaning</t>
  </si>
  <si>
    <t>days</t>
  </si>
  <si>
    <t>Birth date</t>
  </si>
  <si>
    <t>Male calf average daily gain birth to weaning</t>
  </si>
  <si>
    <t>kilograms / day</t>
  </si>
  <si>
    <t>Reduction in growth rate compared to steers</t>
  </si>
  <si>
    <t>Heifer average daily gain birth to weaning</t>
  </si>
  <si>
    <t xml:space="preserve">Expected post weaning steer and heifer growth rates </t>
  </si>
  <si>
    <t>Days</t>
  </si>
  <si>
    <t>Steers kg/d</t>
  </si>
  <si>
    <t>Steers kg / head</t>
  </si>
  <si>
    <t>Heifers kg/d</t>
  </si>
  <si>
    <t>Heifers kg / head</t>
  </si>
  <si>
    <t>Jan</t>
  </si>
  <si>
    <t>Feb</t>
  </si>
  <si>
    <t>Mar</t>
  </si>
  <si>
    <t>Apr</t>
  </si>
  <si>
    <t>May</t>
  </si>
  <si>
    <t>Jun</t>
  </si>
  <si>
    <t>Jul</t>
  </si>
  <si>
    <t>Aug</t>
  </si>
  <si>
    <t>Sep</t>
  </si>
  <si>
    <t>Oct</t>
  </si>
  <si>
    <t>Nov</t>
  </si>
  <si>
    <t>Dec</t>
  </si>
  <si>
    <t>Total</t>
  </si>
  <si>
    <t>Supplement feeding costs calculator (calculated from consumption)</t>
  </si>
  <si>
    <t xml:space="preserve">Supplement </t>
  </si>
  <si>
    <t>Cost /head /annum</t>
  </si>
  <si>
    <t>g P day</t>
  </si>
  <si>
    <t>Weaner supplement northern forest</t>
  </si>
  <si>
    <t>Supplement (P blocks in summer) weaners</t>
  </si>
  <si>
    <t>Supplement (P blocks in summer)yearling heifers</t>
  </si>
  <si>
    <t>Supplement (P blocks in summer) breeders</t>
  </si>
  <si>
    <t>Dry season lick for the heifers (low management no P in dry)</t>
  </si>
  <si>
    <t>Dry season lick for the breederss (low management no P in dry)</t>
  </si>
  <si>
    <t>Dry season lick for the steers(low management no P in dry)</t>
  </si>
  <si>
    <t>Supplement (bags no lick sheds) weaners</t>
  </si>
  <si>
    <t>Supplement (bags no lick sheds) yearling heifers</t>
  </si>
  <si>
    <t>Supplement (bags no lick sheds) breeders</t>
  </si>
  <si>
    <t>Cost /head /day</t>
  </si>
  <si>
    <t xml:space="preserve"> days fed</t>
  </si>
  <si>
    <t>Cost /ton landed</t>
  </si>
  <si>
    <t>Intake (grams/head/day)</t>
  </si>
  <si>
    <t>This sheet does not link to any other sheets. It can be used to record the various supplements fed and how the cost per head per day or cost per head per annum is calculated.</t>
  </si>
  <si>
    <t>Cost per ton landed</t>
  </si>
  <si>
    <t>Intake (grams per head per day)</t>
  </si>
  <si>
    <t>Number of days fed</t>
  </si>
  <si>
    <t>Cost per head per day</t>
  </si>
  <si>
    <t>Supplement feeding costs calculator (calculated from expenditure)</t>
  </si>
  <si>
    <t>Total cost of supplement</t>
  </si>
  <si>
    <t>Number fed</t>
  </si>
  <si>
    <t>Summary</t>
  </si>
  <si>
    <t>Mustering Costs includes aerial and avgas expense</t>
  </si>
  <si>
    <t>gms P/day</t>
  </si>
  <si>
    <t>Supplementation scenarios - Fitzroy</t>
  </si>
  <si>
    <t>Revised 4/12/18</t>
  </si>
  <si>
    <t>Prices are GST exclusive ex Rockhampton</t>
  </si>
  <si>
    <t>Supplement composition and nutrient intakes are on as fed basis</t>
  </si>
  <si>
    <t>Supplement composition and cost</t>
  </si>
  <si>
    <t>Supplement</t>
  </si>
  <si>
    <t>Wet season
P lick
Marginal, Deficient &amp; Acute P herds</t>
  </si>
  <si>
    <t>Dry season N+P lick
Marginal P herd</t>
  </si>
  <si>
    <t>Dry season N+P lick
Deficient P herd</t>
  </si>
  <si>
    <t>Dry season N+P lick
Acute P
herd</t>
  </si>
  <si>
    <t>Dry season N only lick</t>
  </si>
  <si>
    <t>Urea (%)</t>
  </si>
  <si>
    <t>GranAm (%)</t>
  </si>
  <si>
    <t>Copra meal (%)</t>
  </si>
  <si>
    <t>Kynofos (%)</t>
  </si>
  <si>
    <t>Salt (%)</t>
  </si>
  <si>
    <t>Crude protein (%)</t>
  </si>
  <si>
    <t>Phosphorus (%)</t>
  </si>
  <si>
    <t>Supplement cost ex Home Hill Stockfeeds ($/t)</t>
  </si>
  <si>
    <t>Freight Home Hill to CQ property ($/t)</t>
  </si>
  <si>
    <t>Total supplement cost ($/t)</t>
  </si>
  <si>
    <t>Supplement and nutrient intakes and feeding cost for breeders</t>
  </si>
  <si>
    <t>Scenario</t>
  </si>
  <si>
    <t>P status of country</t>
  </si>
  <si>
    <t>Supplement strategy</t>
  </si>
  <si>
    <t>Days fed supplement</t>
  </si>
  <si>
    <t>Supplement intake (g/hd/day)</t>
  </si>
  <si>
    <t>Crude protein intake
(g/hd/day)</t>
  </si>
  <si>
    <t>P intake
(g/hd/day)</t>
  </si>
  <si>
    <t>Seasonal feeding cost ($/breeder)</t>
  </si>
  <si>
    <t>Total feeding cost
($/breeder/annum)</t>
  </si>
  <si>
    <t>Wet season</t>
  </si>
  <si>
    <t>Dry season</t>
  </si>
  <si>
    <t>Adequate</t>
  </si>
  <si>
    <t>No supplement</t>
  </si>
  <si>
    <t>n/a</t>
  </si>
  <si>
    <t>1. Marginal herd, No supplement</t>
  </si>
  <si>
    <t>Marginal</t>
  </si>
  <si>
    <t>2. Marginal herd, Wet season P</t>
  </si>
  <si>
    <t>Wet season P</t>
  </si>
  <si>
    <t>3. Marginal herd, Dry season (N+P)</t>
  </si>
  <si>
    <t>Dry season (N+P)</t>
  </si>
  <si>
    <t>4. Marginal herd, Dry season (N+P), Wet season P</t>
  </si>
  <si>
    <t>Dry season (N+P), wet season P</t>
  </si>
  <si>
    <t>5. Deficient herd, No supplement</t>
  </si>
  <si>
    <t>Deficient</t>
  </si>
  <si>
    <t>6. Deficient herd, Wet season P</t>
  </si>
  <si>
    <t>7. Deficient herd, Dry season (N+P)</t>
  </si>
  <si>
    <t>8. Deficient herd, Dry season (N+P), Wet season P</t>
  </si>
  <si>
    <t>9. Acute herd, No supplement</t>
  </si>
  <si>
    <t>Acute</t>
  </si>
  <si>
    <t>10. Acute herd, Wet season P</t>
  </si>
  <si>
    <t>11. Acute herd, Dry season (N+P)</t>
  </si>
  <si>
    <t>12. Acute herd, Dry season (N+P), Wet season P</t>
  </si>
  <si>
    <t>Notes</t>
  </si>
  <si>
    <t>Supplementary P recommendations from MLA 2012 P book used to set supplementary P intakes</t>
  </si>
  <si>
    <t>Class of animal</t>
  </si>
  <si>
    <t>P status</t>
  </si>
  <si>
    <t>Season</t>
  </si>
  <si>
    <t>P Book supplement
P need
(g/hd/day)</t>
  </si>
  <si>
    <t>Target Supplement P
(g/day)</t>
  </si>
  <si>
    <t>Comment</t>
  </si>
  <si>
    <t>Breeders - lactating</t>
  </si>
  <si>
    <t>Wet</t>
  </si>
  <si>
    <t>3</t>
  </si>
  <si>
    <t>3.4</t>
  </si>
  <si>
    <t>Breeders - dry &amp; pregnant</t>
  </si>
  <si>
    <t>Dry</t>
  </si>
  <si>
    <t>1</t>
  </si>
  <si>
    <t>1.1</t>
  </si>
  <si>
    <t>9</t>
  </si>
  <si>
    <t>0-0.30</t>
  </si>
  <si>
    <t>3-4</t>
  </si>
  <si>
    <t>12</t>
  </si>
  <si>
    <t>5</t>
  </si>
  <si>
    <t>Dry season supplementation periods</t>
  </si>
  <si>
    <r>
      <t xml:space="preserve">Shorter dry season supplementation periods for the </t>
    </r>
    <r>
      <rPr>
        <i/>
        <sz val="10"/>
        <color theme="1"/>
        <rFont val="Calibri"/>
        <family val="2"/>
        <scheme val="minor"/>
      </rPr>
      <t>Dry season (N+P), wet season P f</t>
    </r>
    <r>
      <rPr>
        <sz val="10"/>
        <color theme="1"/>
        <rFont val="Calibri"/>
        <family val="2"/>
        <scheme val="minor"/>
      </rPr>
      <t>eeding strategies is based on dry season feeding starting later because the cows have come into the dry season in better body condition due to wet season P feeding.</t>
    </r>
  </si>
  <si>
    <t>Supplementation scenarios - Katherine with Kynophos</t>
  </si>
  <si>
    <t>Revised 7/12/18</t>
  </si>
  <si>
    <t>Prices are GST exclusive</t>
  </si>
  <si>
    <t>Supplement composition and cost with Kynofos</t>
  </si>
  <si>
    <t>Wet season
P lick
Acute P herd</t>
  </si>
  <si>
    <t xml:space="preserve">Dry season N+P lick
Acute P herd
</t>
  </si>
  <si>
    <t>Supplement cost ex Charters Towers ($/t)</t>
  </si>
  <si>
    <t>Freight 300 km to property ($/t)</t>
  </si>
  <si>
    <t>Supplement and nutrient intakes and feeding cost - Scenario 1 Acute P herd, no supplement (baseline)</t>
  </si>
  <si>
    <t>Seasonal feeding cost ($/hd)</t>
  </si>
  <si>
    <t>Total feeding cost
($/annum)</t>
  </si>
  <si>
    <t>Breeders</t>
  </si>
  <si>
    <t xml:space="preserve">Yearling cattle </t>
  </si>
  <si>
    <t>Supplement and nutrient intakes and feeding cost - Scenario 2 Acute P herd, dry season N+P lick</t>
  </si>
  <si>
    <t>Supplement and nutrient intakes and feeding cost - Scenario 3 Acute P herd, dry season N+P lick, wet season P</t>
  </si>
  <si>
    <t>13.5</t>
  </si>
  <si>
    <t>5.6</t>
  </si>
  <si>
    <t>Yearlings</t>
  </si>
  <si>
    <t>200-400</t>
  </si>
  <si>
    <t>6-7</t>
  </si>
  <si>
    <t>6.5</t>
  </si>
  <si>
    <t>Supplement P intake ranges for 200 &amp; 400 kg animal</t>
  </si>
  <si>
    <t>0-0.3</t>
  </si>
  <si>
    <t>3.5</t>
  </si>
  <si>
    <t>2-4</t>
  </si>
  <si>
    <t>Liveweight gain &amp; Supplement P intake ranges for 200 kg animal</t>
  </si>
  <si>
    <t>Supplementation scenarios - Katherine (MCDCP)</t>
  </si>
  <si>
    <t>Supplement composition and cost with Stocklick MCDCP</t>
  </si>
  <si>
    <t>See bottom of the sheet for example costings of N and P dry lick supplements</t>
  </si>
  <si>
    <t>Liveweight in modelled herd
(kg)</t>
  </si>
  <si>
    <t>P Book Liveweight 
(kg)</t>
  </si>
  <si>
    <t>P Book Liveweight gain
(kg/day)</t>
  </si>
  <si>
    <t>Target supplement P value corrected for Liveweight (450 v 400 kg in P book)</t>
  </si>
  <si>
    <t>path</t>
  </si>
  <si>
    <t>Growth model for steers and heifers</t>
  </si>
  <si>
    <t xml:space="preserve">      Deaths % all stock</t>
  </si>
  <si>
    <t>Average (mean) liveweight of group</t>
  </si>
  <si>
    <t>Cutoff weight for first sale age</t>
  </si>
  <si>
    <t>Standard deviation (SD) of weights</t>
  </si>
  <si>
    <t>% of group above cutoff weight</t>
  </si>
  <si>
    <t>Average weight of heavier group</t>
  </si>
  <si>
    <t>from Splitsal</t>
  </si>
  <si>
    <t>In a "normal" distribution, 95% of individual weights</t>
  </si>
  <si>
    <t xml:space="preserve">will range from </t>
  </si>
  <si>
    <t>kg to</t>
  </si>
  <si>
    <t>kg</t>
  </si>
  <si>
    <t>Average weight of lighter group</t>
  </si>
  <si>
    <t>Expected gain if sold at next age</t>
  </si>
  <si>
    <t>Weight of lighter group by next age</t>
  </si>
  <si>
    <t>NQ Gulf Example herd</t>
  </si>
  <si>
    <t>Botulism C&amp;D @ $0.90 (weaners twice)</t>
  </si>
  <si>
    <t>Backliner for weaners</t>
  </si>
  <si>
    <t>Hay for wnrs 3kg x 5 days = 15 kg @ $400/t</t>
  </si>
  <si>
    <t>Wet season supplement (bulk bags)</t>
  </si>
  <si>
    <t>Dry season lick</t>
  </si>
  <si>
    <t>Pregnancy diagnosis</t>
  </si>
  <si>
    <t>NLIS tags</t>
  </si>
  <si>
    <t>Vibrio</t>
  </si>
  <si>
    <t>Category 13</t>
  </si>
  <si>
    <t>NQ Gulf herd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</si>
</sst>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8" formatCode="&quot;$&quot;#,##0.00;[Red]\-&quot;$&quot;#,##0.00"/>
    <numFmt numFmtId="164" formatCode="0_)"/>
    <numFmt numFmtId="165" formatCode="0.00_)"/>
    <numFmt numFmtId="166" formatCode="0.0%"/>
    <numFmt numFmtId="167" formatCode="&quot;$&quot;#,##0.00"/>
    <numFmt numFmtId="168" formatCode="&quot;$&quot;#,##0.00_)"/>
    <numFmt numFmtId="169" formatCode="&quot;$&quot;#,##0_)"/>
    <numFmt numFmtId="170" formatCode="#,##0_)"/>
    <numFmt numFmtId="171" formatCode="dd\-mmm\-yyyy;@"/>
    <numFmt numFmtId="172" formatCode="0.0"/>
    <numFmt numFmtId="173" formatCode="dd/mm/yy;@"/>
    <numFmt numFmtId="174" formatCode="&quot;$&quot;#,##0.000;[Red]\-&quot;$&quot;#,##0.000"/>
  </numFmts>
  <fonts count="48" x14ac:knownFonts="1">
    <font>
      <sz val="10"/>
      <name val="Arial"/>
    </font>
    <font>
      <sz val="10"/>
      <name val="Arial"/>
      <family val="2"/>
    </font>
    <font>
      <b/>
      <sz val="10"/>
      <name val="Arial"/>
      <family val="2"/>
    </font>
    <font>
      <b/>
      <u/>
      <sz val="10"/>
      <name val="Arial"/>
      <family val="2"/>
    </font>
    <font>
      <i/>
      <sz val="10"/>
      <name val="Arial"/>
      <family val="2"/>
    </font>
    <font>
      <sz val="10"/>
      <name val="Arial Narrow"/>
      <family val="2"/>
    </font>
    <font>
      <i/>
      <sz val="10"/>
      <color indexed="10"/>
      <name val="Arial"/>
      <family val="2"/>
    </font>
    <font>
      <sz val="10"/>
      <color indexed="12"/>
      <name val="Arial"/>
      <family val="2"/>
    </font>
    <font>
      <i/>
      <sz val="8"/>
      <name val="Arial"/>
      <family val="2"/>
    </font>
    <font>
      <sz val="10"/>
      <color indexed="9"/>
      <name val="Arial"/>
      <family val="2"/>
    </font>
    <font>
      <sz val="10"/>
      <name val="Arial Narrow"/>
      <family val="2"/>
    </font>
    <font>
      <i/>
      <sz val="10"/>
      <name val="Arial Narrow"/>
      <family val="2"/>
    </font>
    <font>
      <i/>
      <sz val="10"/>
      <name val="Times New Roman"/>
      <family val="1"/>
    </font>
    <font>
      <i/>
      <sz val="8"/>
      <color indexed="10"/>
      <name val="Arial"/>
      <family val="2"/>
    </font>
    <font>
      <sz val="10"/>
      <color indexed="12"/>
      <name val="Arial Narrow"/>
      <family val="2"/>
    </font>
    <font>
      <sz val="10"/>
      <name val="Arial"/>
      <family val="2"/>
    </font>
    <font>
      <u/>
      <sz val="10"/>
      <color indexed="12"/>
      <name val="Arial"/>
      <family val="2"/>
    </font>
    <font>
      <i/>
      <sz val="10"/>
      <name val="Arial"/>
      <family val="2"/>
    </font>
    <font>
      <i/>
      <sz val="10"/>
      <name val="Times New Roman"/>
      <family val="1"/>
    </font>
    <font>
      <sz val="10"/>
      <color indexed="16"/>
      <name val="Arial"/>
      <family val="2"/>
    </font>
    <font>
      <i/>
      <sz val="10"/>
      <color indexed="16"/>
      <name val="Arial Narrow"/>
      <family val="2"/>
    </font>
    <font>
      <i/>
      <sz val="9"/>
      <name val="Arial"/>
      <family val="2"/>
    </font>
    <font>
      <sz val="10"/>
      <color indexed="10"/>
      <name val="Arial"/>
      <family val="2"/>
    </font>
    <font>
      <b/>
      <sz val="10"/>
      <name val="Arial"/>
      <family val="2"/>
    </font>
    <font>
      <sz val="8"/>
      <name val="Arial"/>
      <family val="2"/>
    </font>
    <font>
      <sz val="10"/>
      <color indexed="16"/>
      <name val="Arial Narrow"/>
      <family val="2"/>
    </font>
    <font>
      <sz val="11"/>
      <color theme="1"/>
      <name val="Calibri"/>
      <family val="2"/>
      <scheme val="minor"/>
    </font>
    <font>
      <sz val="10"/>
      <color rgb="FFFF0000"/>
      <name val="Arial"/>
      <family val="2"/>
    </font>
    <font>
      <b/>
      <sz val="10"/>
      <color theme="1"/>
      <name val="Calibri"/>
      <family val="2"/>
      <scheme val="minor"/>
    </font>
    <font>
      <b/>
      <sz val="10"/>
      <name val="Times New Roman"/>
      <family val="1"/>
    </font>
    <font>
      <sz val="10"/>
      <name val="Times New Roman"/>
      <family val="1"/>
    </font>
    <font>
      <sz val="12"/>
      <name val="Times New Roman"/>
      <family val="1"/>
    </font>
    <font>
      <b/>
      <sz val="12"/>
      <name val="Times New Roman"/>
      <family val="1"/>
    </font>
    <font>
      <sz val="12"/>
      <name val="Arial"/>
      <family val="2"/>
    </font>
    <font>
      <sz val="10"/>
      <name val="Arial"/>
      <family val="2"/>
    </font>
    <font>
      <sz val="10"/>
      <color indexed="12"/>
      <name val="Arial"/>
      <family val="2"/>
    </font>
    <font>
      <sz val="10"/>
      <color rgb="FF002060"/>
      <name val="Arial"/>
      <family val="2"/>
    </font>
    <font>
      <sz val="10"/>
      <color theme="1"/>
      <name val="Calibri"/>
      <family val="2"/>
      <scheme val="minor"/>
    </font>
    <font>
      <sz val="10"/>
      <color rgb="FF000000"/>
      <name val="Calibri"/>
      <family val="2"/>
      <scheme val="minor"/>
    </font>
    <font>
      <i/>
      <sz val="10"/>
      <color theme="1"/>
      <name val="Calibri"/>
      <family val="2"/>
      <scheme val="minor"/>
    </font>
    <font>
      <b/>
      <sz val="10"/>
      <color rgb="FF0070C0"/>
      <name val="Arial"/>
      <family val="2"/>
    </font>
    <font>
      <b/>
      <sz val="10"/>
      <color theme="1"/>
      <name val="Arial"/>
      <family val="2"/>
    </font>
    <font>
      <i/>
      <sz val="10"/>
      <color indexed="10"/>
      <name val="Arial Narrow"/>
      <family val="2"/>
    </font>
    <font>
      <i/>
      <sz val="10"/>
      <name val="Arial"/>
      <family val="2"/>
    </font>
    <font>
      <sz val="10"/>
      <color indexed="12"/>
      <name val="Arial"/>
    </font>
    <font>
      <sz val="10"/>
      <color indexed="10"/>
      <name val="Arial"/>
    </font>
    <font>
      <sz val="10"/>
      <color indexed="16"/>
      <name val="Arial"/>
    </font>
    <font>
      <i/>
      <sz val="10"/>
      <name val="Times New Roman"/>
    </font>
  </fonts>
  <fills count="18">
    <fill>
      <patternFill patternType="none"/>
    </fill>
    <fill>
      <patternFill patternType="gray125"/>
    </fill>
    <fill>
      <patternFill patternType="solid">
        <fgColor indexed="15"/>
      </patternFill>
    </fill>
    <fill>
      <patternFill patternType="solid">
        <fgColor indexed="13"/>
      </patternFill>
    </fill>
    <fill>
      <patternFill patternType="solid">
        <fgColor indexed="43"/>
        <bgColor indexed="64"/>
      </patternFill>
    </fill>
    <fill>
      <patternFill patternType="solid">
        <fgColor indexed="11"/>
        <bgColor indexed="64"/>
      </patternFill>
    </fill>
    <fill>
      <patternFill patternType="solid">
        <fgColor indexed="13"/>
        <bgColor indexed="64"/>
      </patternFill>
    </fill>
    <fill>
      <patternFill patternType="solid">
        <fgColor rgb="FF00B050"/>
        <bgColor indexed="64"/>
      </patternFill>
    </fill>
    <fill>
      <patternFill patternType="solid">
        <fgColor rgb="FFFFFF00"/>
        <bgColor indexed="64"/>
      </patternFill>
    </fill>
    <fill>
      <patternFill patternType="solid">
        <fgColor rgb="FFA9D08E"/>
        <bgColor indexed="64"/>
      </patternFill>
    </fill>
    <fill>
      <patternFill patternType="solid">
        <fgColor rgb="FF00FF00"/>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92D050"/>
        <bgColor indexed="64"/>
      </patternFill>
    </fill>
  </fills>
  <borders count="90">
    <border>
      <left/>
      <right/>
      <top/>
      <bottom/>
      <diagonal/>
    </border>
    <border>
      <left/>
      <right/>
      <top style="thin">
        <color indexed="8"/>
      </top>
      <bottom style="thin">
        <color indexed="8"/>
      </bottom>
      <diagonal/>
    </border>
    <border>
      <left/>
      <right/>
      <top/>
      <bottom style="thin">
        <color indexed="8"/>
      </bottom>
      <diagonal/>
    </border>
    <border>
      <left/>
      <right style="thin">
        <color indexed="8"/>
      </right>
      <top/>
      <bottom/>
      <diagonal/>
    </border>
    <border>
      <left style="thin">
        <color indexed="8"/>
      </left>
      <right/>
      <top/>
      <bottom/>
      <diagonal/>
    </border>
    <border>
      <left style="thin">
        <color indexed="8"/>
      </left>
      <right style="thin">
        <color indexed="8"/>
      </right>
      <top/>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right/>
      <top style="double">
        <color indexed="8"/>
      </top>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8"/>
      </top>
      <bottom style="thin">
        <color indexed="8"/>
      </bottom>
      <diagonal/>
    </border>
    <border>
      <left/>
      <right/>
      <top style="thin">
        <color indexed="8"/>
      </top>
      <bottom style="double">
        <color indexed="8"/>
      </bottom>
      <diagonal/>
    </border>
    <border>
      <left/>
      <right style="double">
        <color indexed="8"/>
      </right>
      <top/>
      <bottom/>
      <diagonal/>
    </border>
    <border>
      <left style="double">
        <color indexed="8"/>
      </left>
      <right/>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top/>
      <bottom/>
      <diagonal/>
    </border>
    <border>
      <left style="thin">
        <color indexed="0"/>
      </left>
      <right/>
      <top style="thin">
        <color indexed="0"/>
      </top>
      <bottom/>
      <diagonal/>
    </border>
    <border>
      <left/>
      <right/>
      <top style="thin">
        <color indexed="0"/>
      </top>
      <bottom/>
      <diagonal/>
    </border>
    <border>
      <left style="thin">
        <color indexed="0"/>
      </left>
      <right/>
      <top/>
      <bottom style="thin">
        <color indexed="0"/>
      </bottom>
      <diagonal/>
    </border>
    <border>
      <left/>
      <right/>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bottom style="thin">
        <color indexed="64"/>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top/>
      <bottom/>
      <diagonal/>
    </border>
    <border>
      <left style="thin">
        <color auto="1"/>
      </left>
      <right style="thin">
        <color auto="1"/>
      </right>
      <top/>
      <bottom/>
      <diagonal/>
    </border>
    <border>
      <left style="thin">
        <color indexed="8"/>
      </left>
      <right style="thin">
        <color indexed="8"/>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diagonal/>
    </border>
  </borders>
  <cellStyleXfs count="33">
    <xf numFmtId="0" fontId="0"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3" fillId="0" borderId="0"/>
    <xf numFmtId="0" fontId="1" fillId="0" borderId="1"/>
    <xf numFmtId="0" fontId="1" fillId="0" borderId="2"/>
    <xf numFmtId="0" fontId="1" fillId="0" borderId="3"/>
    <xf numFmtId="0" fontId="1" fillId="0" borderId="2"/>
    <xf numFmtId="0" fontId="4" fillId="0" borderId="0"/>
    <xf numFmtId="0" fontId="8" fillId="2" borderId="0"/>
    <xf numFmtId="0" fontId="16"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5" fillId="0" borderId="0"/>
    <xf numFmtId="0" fontId="26" fillId="0" borderId="0"/>
    <xf numFmtId="0" fontId="4" fillId="3" borderId="0"/>
    <xf numFmtId="0" fontId="1" fillId="3" borderId="0"/>
    <xf numFmtId="0" fontId="1" fillId="3" borderId="0"/>
    <xf numFmtId="0" fontId="11" fillId="3" borderId="0"/>
    <xf numFmtId="0" fontId="5" fillId="3" borderId="0"/>
    <xf numFmtId="0" fontId="1" fillId="3" borderId="0"/>
    <xf numFmtId="0" fontId="4" fillId="3" borderId="0"/>
    <xf numFmtId="0" fontId="1" fillId="3" borderId="0"/>
    <xf numFmtId="0" fontId="1" fillId="3" borderId="0"/>
    <xf numFmtId="0" fontId="1" fillId="3" borderId="0"/>
    <xf numFmtId="9" fontId="34" fillId="0" borderId="0" applyFont="0" applyFill="0" applyBorder="0" applyAlignment="0" applyProtection="0"/>
  </cellStyleXfs>
  <cellXfs count="671">
    <xf numFmtId="0" fontId="0" fillId="0" borderId="0" xfId="0"/>
    <xf numFmtId="164" fontId="0" fillId="0" borderId="0" xfId="0" applyNumberFormat="1" applyAlignment="1" applyProtection="1">
      <alignment horizontal="right"/>
    </xf>
    <xf numFmtId="164" fontId="0" fillId="0" borderId="0" xfId="0" applyNumberFormat="1" applyProtection="1"/>
    <xf numFmtId="164" fontId="0" fillId="0" borderId="4" xfId="0" applyNumberFormat="1" applyBorder="1" applyProtection="1"/>
    <xf numFmtId="165" fontId="4" fillId="0" borderId="0" xfId="13" applyNumberFormat="1" applyProtection="1"/>
    <xf numFmtId="10" fontId="0" fillId="0" borderId="0" xfId="0" applyNumberFormat="1" applyProtection="1"/>
    <xf numFmtId="164" fontId="0" fillId="0" borderId="5" xfId="0" applyNumberFormat="1" applyBorder="1" applyProtection="1"/>
    <xf numFmtId="164" fontId="0" fillId="0" borderId="3" xfId="0" applyNumberFormat="1" applyBorder="1" applyProtection="1"/>
    <xf numFmtId="165" fontId="0" fillId="0" borderId="0" xfId="0" applyNumberFormat="1" applyProtection="1"/>
    <xf numFmtId="165" fontId="0" fillId="0" borderId="3" xfId="0" applyNumberFormat="1" applyBorder="1" applyProtection="1"/>
    <xf numFmtId="10" fontId="1" fillId="0" borderId="0" xfId="2" applyNumberFormat="1" applyProtection="1"/>
    <xf numFmtId="164" fontId="1" fillId="4" borderId="0" xfId="24" applyNumberFormat="1" applyFill="1" applyProtection="1"/>
    <xf numFmtId="164" fontId="0" fillId="0" borderId="6" xfId="0" applyNumberFormat="1" applyBorder="1" applyProtection="1"/>
    <xf numFmtId="164" fontId="0" fillId="0" borderId="7" xfId="0" applyNumberFormat="1" applyBorder="1" applyProtection="1"/>
    <xf numFmtId="10" fontId="0" fillId="0" borderId="3" xfId="0" applyNumberFormat="1" applyBorder="1" applyProtection="1"/>
    <xf numFmtId="0" fontId="4" fillId="4" borderId="0" xfId="22" applyNumberFormat="1" applyFill="1" applyProtection="1"/>
    <xf numFmtId="0" fontId="4" fillId="4" borderId="0" xfId="28" applyNumberFormat="1" applyFill="1" applyProtection="1"/>
    <xf numFmtId="0" fontId="11" fillId="4" borderId="0" xfId="25" applyNumberFormat="1" applyFill="1" applyProtection="1"/>
    <xf numFmtId="165" fontId="1" fillId="0" borderId="0" xfId="0" applyNumberFormat="1" applyFont="1" applyFill="1" applyProtection="1"/>
    <xf numFmtId="164" fontId="1" fillId="0" borderId="0" xfId="0" applyNumberFormat="1" applyFont="1" applyFill="1" applyAlignment="1" applyProtection="1">
      <alignment horizontal="right"/>
    </xf>
    <xf numFmtId="0" fontId="23" fillId="0" borderId="0" xfId="0" applyFont="1" applyProtection="1"/>
    <xf numFmtId="0" fontId="15" fillId="5" borderId="0" xfId="0" applyFont="1" applyFill="1" applyProtection="1"/>
    <xf numFmtId="0" fontId="0" fillId="0" borderId="0" xfId="0" applyProtection="1"/>
    <xf numFmtId="10" fontId="15" fillId="5" borderId="0" xfId="0" applyNumberFormat="1" applyFont="1" applyFill="1" applyProtection="1"/>
    <xf numFmtId="164" fontId="15" fillId="5" borderId="0" xfId="0" applyNumberFormat="1" applyFont="1" applyFill="1" applyProtection="1"/>
    <xf numFmtId="164" fontId="0" fillId="0" borderId="0" xfId="0" applyNumberFormat="1" applyFill="1" applyProtection="1"/>
    <xf numFmtId="0" fontId="24" fillId="0" borderId="0" xfId="15" applyFont="1" applyAlignment="1" applyProtection="1">
      <alignment horizontal="left" indent="2"/>
    </xf>
    <xf numFmtId="9" fontId="26" fillId="7" borderId="0" xfId="21" applyNumberFormat="1" applyFill="1" applyBorder="1" applyProtection="1"/>
    <xf numFmtId="0" fontId="1" fillId="0" borderId="0" xfId="0" applyFont="1" applyAlignment="1" applyProtection="1">
      <alignment horizontal="right"/>
    </xf>
    <xf numFmtId="0" fontId="1" fillId="0" borderId="0" xfId="0" applyFont="1" applyProtection="1"/>
    <xf numFmtId="0" fontId="26" fillId="7" borderId="0" xfId="21" applyFill="1" applyBorder="1" applyProtection="1"/>
    <xf numFmtId="1" fontId="15" fillId="0" borderId="8" xfId="29" applyNumberFormat="1" applyFont="1" applyFill="1" applyBorder="1" applyAlignment="1" applyProtection="1">
      <alignment horizontal="center"/>
    </xf>
    <xf numFmtId="1" fontId="15" fillId="0" borderId="5" xfId="29" applyNumberFormat="1" applyFont="1" applyFill="1" applyBorder="1" applyAlignment="1" applyProtection="1">
      <alignment horizontal="center"/>
    </xf>
    <xf numFmtId="1" fontId="15" fillId="0" borderId="9" xfId="29" applyNumberFormat="1" applyFont="1" applyFill="1" applyBorder="1" applyAlignment="1" applyProtection="1">
      <alignment horizontal="center"/>
    </xf>
    <xf numFmtId="0" fontId="2" fillId="0" borderId="0" xfId="5" applyFont="1" applyProtection="1"/>
    <xf numFmtId="0" fontId="1" fillId="0" borderId="0" xfId="3" applyProtection="1"/>
    <xf numFmtId="0" fontId="4" fillId="0" borderId="0" xfId="17" applyAlignment="1" applyProtection="1">
      <alignment horizontal="right"/>
    </xf>
    <xf numFmtId="0" fontId="0" fillId="4" borderId="0" xfId="0" applyNumberFormat="1" applyFill="1" applyProtection="1"/>
    <xf numFmtId="0" fontId="1" fillId="4" borderId="0" xfId="3" applyNumberFormat="1" applyFill="1" applyProtection="1"/>
    <xf numFmtId="0" fontId="17" fillId="0" borderId="0" xfId="0" applyFont="1" applyProtection="1"/>
    <xf numFmtId="0" fontId="4" fillId="0" borderId="0" xfId="16" applyProtection="1"/>
    <xf numFmtId="0" fontId="1" fillId="0" borderId="0" xfId="12" applyBorder="1" applyProtection="1"/>
    <xf numFmtId="0" fontId="0" fillId="0" borderId="0" xfId="0" applyBorder="1" applyProtection="1"/>
    <xf numFmtId="0" fontId="11" fillId="4" borderId="10" xfId="25" applyNumberFormat="1" applyFont="1" applyFill="1" applyBorder="1" applyProtection="1"/>
    <xf numFmtId="0" fontId="11" fillId="4" borderId="10" xfId="25" applyNumberFormat="1" applyFill="1" applyBorder="1" applyProtection="1"/>
    <xf numFmtId="0" fontId="11" fillId="4" borderId="6" xfId="25" applyNumberFormat="1" applyFill="1" applyBorder="1" applyProtection="1"/>
    <xf numFmtId="0" fontId="0" fillId="0" borderId="4" xfId="0" applyBorder="1" applyProtection="1"/>
    <xf numFmtId="0" fontId="4" fillId="0" borderId="0" xfId="16" applyFont="1" applyProtection="1"/>
    <xf numFmtId="0" fontId="11" fillId="4" borderId="2" xfId="25" applyNumberFormat="1" applyFill="1" applyBorder="1" applyProtection="1"/>
    <xf numFmtId="0" fontId="11" fillId="4" borderId="7" xfId="25" applyNumberFormat="1" applyFill="1" applyBorder="1" applyProtection="1"/>
    <xf numFmtId="0" fontId="4" fillId="0" borderId="11" xfId="0" applyFont="1" applyBorder="1" applyProtection="1"/>
    <xf numFmtId="0" fontId="1" fillId="0" borderId="0" xfId="3" applyFont="1" applyBorder="1" applyAlignment="1" applyProtection="1">
      <alignment horizontal="right"/>
    </xf>
    <xf numFmtId="0" fontId="6" fillId="0" borderId="0" xfId="0" applyFont="1" applyProtection="1"/>
    <xf numFmtId="0" fontId="0" fillId="0" borderId="2" xfId="0" applyBorder="1" applyProtection="1"/>
    <xf numFmtId="0" fontId="1" fillId="0" borderId="2" xfId="12" applyProtection="1"/>
    <xf numFmtId="0" fontId="0" fillId="0" borderId="12" xfId="0" applyBorder="1" applyProtection="1"/>
    <xf numFmtId="0" fontId="0" fillId="0" borderId="3" xfId="0" applyBorder="1" applyAlignment="1" applyProtection="1">
      <alignment horizontal="right"/>
    </xf>
    <xf numFmtId="0" fontId="0" fillId="0" borderId="3" xfId="0" applyBorder="1" applyProtection="1"/>
    <xf numFmtId="0" fontId="0" fillId="0" borderId="5" xfId="0" applyBorder="1" applyAlignment="1" applyProtection="1">
      <alignment horizontal="center"/>
    </xf>
    <xf numFmtId="0" fontId="0" fillId="0" borderId="0" xfId="0" applyAlignment="1" applyProtection="1">
      <alignment horizontal="right"/>
    </xf>
    <xf numFmtId="0" fontId="15" fillId="0" borderId="0" xfId="0" applyFont="1" applyAlignment="1" applyProtection="1">
      <alignment horizontal="center"/>
    </xf>
    <xf numFmtId="0" fontId="0" fillId="0" borderId="13" xfId="0" applyBorder="1" applyProtection="1"/>
    <xf numFmtId="0" fontId="15" fillId="0" borderId="0" xfId="0" applyFont="1" applyAlignment="1" applyProtection="1">
      <alignment horizontal="right"/>
    </xf>
    <xf numFmtId="0" fontId="4" fillId="0" borderId="1" xfId="0" applyFont="1" applyBorder="1" applyProtection="1"/>
    <xf numFmtId="0" fontId="0" fillId="0" borderId="12" xfId="0" applyBorder="1" applyAlignment="1" applyProtection="1">
      <alignment horizontal="right"/>
    </xf>
    <xf numFmtId="0" fontId="0" fillId="0" borderId="5" xfId="0" applyBorder="1" applyProtection="1"/>
    <xf numFmtId="164" fontId="1" fillId="0" borderId="0" xfId="27" applyNumberFormat="1" applyFont="1" applyFill="1" applyProtection="1"/>
    <xf numFmtId="0" fontId="0" fillId="0" borderId="4" xfId="0" applyBorder="1" applyAlignment="1" applyProtection="1">
      <alignment horizontal="right"/>
    </xf>
    <xf numFmtId="0" fontId="0" fillId="0" borderId="13" xfId="0" applyBorder="1" applyAlignment="1" applyProtection="1">
      <alignment horizontal="right"/>
    </xf>
    <xf numFmtId="0" fontId="0" fillId="0" borderId="10" xfId="0" applyBorder="1" applyProtection="1"/>
    <xf numFmtId="0" fontId="1" fillId="0" borderId="0" xfId="1" applyProtection="1"/>
    <xf numFmtId="0" fontId="2" fillId="0" borderId="0" xfId="7" applyFont="1" applyProtection="1"/>
    <xf numFmtId="0" fontId="4" fillId="0" borderId="0" xfId="0" applyFont="1" applyAlignment="1" applyProtection="1">
      <alignment horizontal="right"/>
    </xf>
    <xf numFmtId="0" fontId="1" fillId="4" borderId="0" xfId="1" applyNumberFormat="1" applyFill="1" applyProtection="1"/>
    <xf numFmtId="0" fontId="1" fillId="0" borderId="0" xfId="1" applyFont="1" applyProtection="1"/>
    <xf numFmtId="0" fontId="4" fillId="0" borderId="0" xfId="18" applyAlignment="1" applyProtection="1">
      <alignment horizontal="right"/>
    </xf>
    <xf numFmtId="0" fontId="4" fillId="0" borderId="0" xfId="19" applyProtection="1"/>
    <xf numFmtId="0" fontId="15" fillId="0" borderId="0" xfId="2" applyFont="1" applyAlignment="1" applyProtection="1">
      <alignment horizontal="center"/>
    </xf>
    <xf numFmtId="0" fontId="15" fillId="0" borderId="0" xfId="2" applyFont="1" applyAlignment="1" applyProtection="1">
      <alignment horizontal="right"/>
    </xf>
    <xf numFmtId="0" fontId="1" fillId="0" borderId="0" xfId="2" applyAlignment="1" applyProtection="1">
      <alignment horizontal="right"/>
    </xf>
    <xf numFmtId="0" fontId="1" fillId="0" borderId="0" xfId="2" applyFont="1" applyAlignment="1" applyProtection="1">
      <alignment horizontal="right"/>
    </xf>
    <xf numFmtId="0" fontId="15" fillId="0" borderId="14" xfId="0" applyFont="1" applyBorder="1" applyAlignment="1" applyProtection="1">
      <alignment horizontal="center"/>
    </xf>
    <xf numFmtId="0" fontId="15" fillId="0" borderId="15" xfId="0" applyFont="1" applyBorder="1" applyAlignment="1" applyProtection="1">
      <alignment horizontal="center"/>
    </xf>
    <xf numFmtId="0" fontId="0" fillId="0" borderId="1" xfId="0" applyBorder="1" applyProtection="1"/>
    <xf numFmtId="1" fontId="15" fillId="0" borderId="14" xfId="0" applyNumberFormat="1" applyFont="1" applyBorder="1" applyAlignment="1" applyProtection="1">
      <alignment horizontal="center"/>
    </xf>
    <xf numFmtId="1" fontId="15" fillId="0" borderId="16" xfId="0" applyNumberFormat="1" applyFont="1" applyBorder="1" applyAlignment="1" applyProtection="1">
      <alignment horizontal="center"/>
    </xf>
    <xf numFmtId="1" fontId="15" fillId="0" borderId="15" xfId="0" applyNumberFormat="1" applyFont="1" applyBorder="1" applyAlignment="1" applyProtection="1">
      <alignment horizontal="center"/>
    </xf>
    <xf numFmtId="0" fontId="15" fillId="0" borderId="10" xfId="0" applyFont="1" applyBorder="1" applyProtection="1"/>
    <xf numFmtId="1" fontId="15" fillId="0" borderId="17" xfId="0" applyNumberFormat="1" applyFont="1" applyBorder="1" applyAlignment="1" applyProtection="1">
      <alignment horizontal="center"/>
    </xf>
    <xf numFmtId="0" fontId="15" fillId="0" borderId="0" xfId="0" applyFont="1" applyProtection="1"/>
    <xf numFmtId="0" fontId="15" fillId="0" borderId="0" xfId="0" applyFont="1" applyBorder="1" applyProtection="1"/>
    <xf numFmtId="0" fontId="15" fillId="0" borderId="2" xfId="0" applyFont="1" applyBorder="1" applyProtection="1"/>
    <xf numFmtId="1" fontId="15" fillId="0" borderId="18" xfId="0" applyNumberFormat="1" applyFont="1" applyBorder="1" applyAlignment="1" applyProtection="1">
      <alignment horizontal="center"/>
    </xf>
    <xf numFmtId="1" fontId="15" fillId="0" borderId="0" xfId="0" applyNumberFormat="1" applyFont="1" applyAlignment="1" applyProtection="1">
      <alignment horizontal="center"/>
    </xf>
    <xf numFmtId="0" fontId="2" fillId="0" borderId="0" xfId="7" applyProtection="1"/>
    <xf numFmtId="0" fontId="5" fillId="0" borderId="12" xfId="0" applyFont="1" applyBorder="1" applyAlignment="1" applyProtection="1">
      <alignment horizontal="right"/>
    </xf>
    <xf numFmtId="0" fontId="5" fillId="0" borderId="8" xfId="0" applyFont="1" applyBorder="1" applyAlignment="1" applyProtection="1">
      <alignment horizontal="right"/>
    </xf>
    <xf numFmtId="0" fontId="23" fillId="0" borderId="0" xfId="1" applyFont="1" applyProtection="1"/>
    <xf numFmtId="0" fontId="5" fillId="0" borderId="13" xfId="0" applyFont="1" applyBorder="1" applyAlignment="1" applyProtection="1">
      <alignment horizontal="right"/>
    </xf>
    <xf numFmtId="0" fontId="5" fillId="0" borderId="4" xfId="0" applyFont="1" applyBorder="1" applyAlignment="1" applyProtection="1">
      <alignment horizontal="right"/>
    </xf>
    <xf numFmtId="0" fontId="0" fillId="4" borderId="17" xfId="0" applyFill="1" applyBorder="1" applyProtection="1"/>
    <xf numFmtId="0" fontId="0" fillId="4" borderId="19" xfId="0" applyFill="1" applyBorder="1" applyProtection="1"/>
    <xf numFmtId="0" fontId="0" fillId="4" borderId="0" xfId="0" applyFill="1" applyBorder="1" applyProtection="1"/>
    <xf numFmtId="0" fontId="0" fillId="4" borderId="20" xfId="0" applyFill="1" applyBorder="1" applyProtection="1"/>
    <xf numFmtId="0" fontId="1" fillId="0" borderId="0" xfId="2" applyProtection="1"/>
    <xf numFmtId="0" fontId="1" fillId="0" borderId="0" xfId="1" applyBorder="1" applyProtection="1"/>
    <xf numFmtId="0" fontId="0" fillId="4" borderId="21" xfId="0" applyFill="1" applyBorder="1" applyProtection="1"/>
    <xf numFmtId="0" fontId="0" fillId="4" borderId="22" xfId="0" applyFill="1" applyBorder="1" applyProtection="1"/>
    <xf numFmtId="0" fontId="2" fillId="0" borderId="0" xfId="4" applyFont="1" applyProtection="1"/>
    <xf numFmtId="0" fontId="4" fillId="0" borderId="0" xfId="17" applyFont="1" applyProtection="1"/>
    <xf numFmtId="0" fontId="2" fillId="0" borderId="0" xfId="4" applyProtection="1"/>
    <xf numFmtId="0" fontId="0" fillId="0" borderId="14" xfId="0" applyBorder="1" applyProtection="1"/>
    <xf numFmtId="0" fontId="1" fillId="0" borderId="0" xfId="1" applyAlignment="1" applyProtection="1">
      <alignment horizontal="right"/>
    </xf>
    <xf numFmtId="0" fontId="12" fillId="0" borderId="0" xfId="0" applyFont="1" applyAlignment="1" applyProtection="1">
      <alignment horizontal="right"/>
    </xf>
    <xf numFmtId="0" fontId="1" fillId="0" borderId="0" xfId="1" applyFont="1" applyAlignment="1" applyProtection="1">
      <alignment horizontal="right" wrapText="1"/>
    </xf>
    <xf numFmtId="0" fontId="12" fillId="0" borderId="0" xfId="0" applyFont="1" applyAlignment="1" applyProtection="1">
      <alignment horizontal="right" wrapText="1"/>
    </xf>
    <xf numFmtId="0" fontId="1" fillId="0" borderId="0" xfId="1" applyFont="1" applyAlignment="1" applyProtection="1">
      <alignment horizontal="right"/>
    </xf>
    <xf numFmtId="0" fontId="0" fillId="0" borderId="16" xfId="0" applyBorder="1" applyProtection="1"/>
    <xf numFmtId="0" fontId="0" fillId="0" borderId="15" xfId="0" applyBorder="1" applyProtection="1"/>
    <xf numFmtId="0" fontId="13" fillId="0" borderId="0" xfId="0" applyFont="1" applyProtection="1"/>
    <xf numFmtId="0" fontId="0" fillId="0" borderId="1" xfId="0" applyBorder="1" applyAlignment="1" applyProtection="1">
      <alignment horizontal="right"/>
    </xf>
    <xf numFmtId="0" fontId="15" fillId="0" borderId="23" xfId="0" applyFont="1" applyFill="1" applyBorder="1" applyProtection="1"/>
    <xf numFmtId="0" fontId="15" fillId="0" borderId="0" xfId="2" applyFont="1" applyProtection="1"/>
    <xf numFmtId="3" fontId="15" fillId="0" borderId="24" xfId="0" applyNumberFormat="1" applyFont="1" applyFill="1" applyBorder="1" applyAlignment="1" applyProtection="1">
      <alignment horizontal="right"/>
    </xf>
    <xf numFmtId="0" fontId="15" fillId="0" borderId="0" xfId="1" applyFont="1" applyProtection="1"/>
    <xf numFmtId="1" fontId="15" fillId="0" borderId="0" xfId="0" applyNumberFormat="1" applyFont="1" applyFill="1" applyBorder="1" applyAlignment="1" applyProtection="1">
      <alignment horizontal="right"/>
    </xf>
    <xf numFmtId="3" fontId="15" fillId="0" borderId="0" xfId="0" applyNumberFormat="1" applyFont="1" applyProtection="1"/>
    <xf numFmtId="0" fontId="15" fillId="0" borderId="0" xfId="0" applyFont="1" applyFill="1" applyBorder="1" applyAlignment="1" applyProtection="1">
      <alignment horizontal="right"/>
    </xf>
    <xf numFmtId="0" fontId="10" fillId="0" borderId="0" xfId="2" applyFont="1" applyProtection="1"/>
    <xf numFmtId="0" fontId="10" fillId="0" borderId="0" xfId="1" applyFont="1" applyProtection="1"/>
    <xf numFmtId="0" fontId="10" fillId="0" borderId="0" xfId="2" applyFont="1" applyAlignment="1" applyProtection="1">
      <alignment horizontal="right" wrapText="1"/>
    </xf>
    <xf numFmtId="0" fontId="10" fillId="0" borderId="19" xfId="1" applyFont="1" applyBorder="1" applyAlignment="1" applyProtection="1">
      <alignment horizontal="right"/>
    </xf>
    <xf numFmtId="0" fontId="15" fillId="0" borderId="0" xfId="0" applyFont="1" applyFill="1" applyBorder="1" applyAlignment="1" applyProtection="1">
      <alignment horizontal="left"/>
    </xf>
    <xf numFmtId="0" fontId="15" fillId="0" borderId="0" xfId="0" applyFont="1" applyFill="1" applyBorder="1" applyProtection="1"/>
    <xf numFmtId="0" fontId="10" fillId="0" borderId="0" xfId="1" applyFont="1" applyAlignment="1" applyProtection="1">
      <alignment horizontal="right"/>
    </xf>
    <xf numFmtId="0" fontId="10" fillId="0" borderId="20" xfId="1" applyFont="1" applyBorder="1" applyAlignment="1" applyProtection="1">
      <alignment horizontal="right"/>
    </xf>
    <xf numFmtId="0" fontId="0" fillId="0" borderId="25" xfId="0" applyBorder="1" applyProtection="1"/>
    <xf numFmtId="0" fontId="0" fillId="0" borderId="5" xfId="0" applyFill="1" applyBorder="1" applyProtection="1"/>
    <xf numFmtId="0" fontId="0" fillId="0" borderId="1" xfId="0" applyFill="1" applyBorder="1" applyProtection="1"/>
    <xf numFmtId="0" fontId="1" fillId="0" borderId="0" xfId="1" applyFill="1" applyProtection="1"/>
    <xf numFmtId="0" fontId="0" fillId="0" borderId="25" xfId="0" applyFill="1" applyBorder="1" applyProtection="1"/>
    <xf numFmtId="0" fontId="8" fillId="0" borderId="0" xfId="14" applyFill="1" applyProtection="1"/>
    <xf numFmtId="0" fontId="4" fillId="0" borderId="0" xfId="17" applyProtection="1"/>
    <xf numFmtId="0" fontId="22" fillId="4" borderId="17" xfId="0" applyFont="1" applyFill="1" applyBorder="1" applyProtection="1"/>
    <xf numFmtId="0" fontId="22" fillId="4" borderId="19" xfId="0" applyFont="1" applyFill="1" applyBorder="1" applyProtection="1"/>
    <xf numFmtId="0" fontId="22" fillId="4" borderId="0" xfId="0" applyFont="1" applyFill="1" applyBorder="1" applyProtection="1"/>
    <xf numFmtId="0" fontId="22" fillId="4" borderId="20" xfId="0" applyFont="1" applyFill="1" applyBorder="1" applyProtection="1"/>
    <xf numFmtId="0" fontId="22" fillId="4" borderId="21" xfId="0" applyFont="1" applyFill="1" applyBorder="1" applyProtection="1"/>
    <xf numFmtId="0" fontId="22" fillId="4" borderId="22" xfId="0" applyFont="1" applyFill="1" applyBorder="1" applyProtection="1"/>
    <xf numFmtId="0" fontId="2" fillId="0" borderId="0" xfId="6" applyFont="1" applyProtection="1"/>
    <xf numFmtId="0" fontId="4" fillId="0" borderId="0" xfId="0" applyFont="1" applyProtection="1"/>
    <xf numFmtId="0" fontId="2" fillId="0" borderId="0" xfId="6" applyProtection="1"/>
    <xf numFmtId="0" fontId="4" fillId="0" borderId="2" xfId="0" applyFont="1" applyBorder="1" applyProtection="1"/>
    <xf numFmtId="0" fontId="15" fillId="0" borderId="0" xfId="0" applyFont="1" applyFill="1" applyProtection="1"/>
    <xf numFmtId="0" fontId="0" fillId="0" borderId="0" xfId="0" applyFill="1" applyProtection="1"/>
    <xf numFmtId="0" fontId="4" fillId="0" borderId="10" xfId="0" applyFont="1" applyBorder="1" applyProtection="1"/>
    <xf numFmtId="0" fontId="8" fillId="0" borderId="0" xfId="0" applyFont="1" applyFill="1" applyProtection="1"/>
    <xf numFmtId="0" fontId="0" fillId="0" borderId="3" xfId="0" applyFill="1" applyBorder="1" applyProtection="1"/>
    <xf numFmtId="0" fontId="4" fillId="0" borderId="4" xfId="0" applyFont="1" applyBorder="1" applyAlignment="1" applyProtection="1"/>
    <xf numFmtId="0" fontId="17" fillId="0" borderId="1" xfId="0" applyFont="1" applyBorder="1" applyAlignment="1" applyProtection="1">
      <alignment horizontal="right"/>
    </xf>
    <xf numFmtId="0" fontId="17" fillId="0" borderId="2" xfId="0" applyFont="1" applyBorder="1" applyAlignment="1" applyProtection="1">
      <alignment horizontal="right"/>
    </xf>
    <xf numFmtId="0" fontId="0" fillId="0" borderId="4" xfId="0" applyBorder="1" applyAlignment="1" applyProtection="1">
      <alignment horizontal="left"/>
    </xf>
    <xf numFmtId="0" fontId="4" fillId="0" borderId="5" xfId="0" applyFont="1" applyBorder="1" applyAlignment="1" applyProtection="1">
      <alignment horizontal="center"/>
    </xf>
    <xf numFmtId="0" fontId="4" fillId="0" borderId="4" xfId="0" applyFont="1" applyBorder="1" applyAlignment="1" applyProtection="1">
      <alignment horizontal="right"/>
    </xf>
    <xf numFmtId="0" fontId="0" fillId="0" borderId="6" xfId="0" applyBorder="1" applyAlignment="1" applyProtection="1">
      <alignment horizontal="right"/>
    </xf>
    <xf numFmtId="0" fontId="0" fillId="0" borderId="7" xfId="0" applyBorder="1" applyAlignment="1" applyProtection="1">
      <alignment horizontal="right"/>
    </xf>
    <xf numFmtId="0" fontId="5" fillId="0" borderId="0" xfId="20" applyAlignment="1" applyProtection="1">
      <alignment horizontal="right"/>
    </xf>
    <xf numFmtId="0" fontId="5" fillId="0" borderId="3" xfId="0" applyFont="1" applyBorder="1" applyAlignment="1" applyProtection="1">
      <alignment horizontal="right"/>
    </xf>
    <xf numFmtId="0" fontId="9" fillId="0" borderId="0" xfId="0" applyFont="1" applyProtection="1"/>
    <xf numFmtId="165" fontId="1" fillId="0" borderId="0" xfId="23" applyNumberFormat="1" applyFont="1" applyFill="1" applyProtection="1"/>
    <xf numFmtId="0" fontId="1" fillId="0" borderId="0" xfId="0" applyFont="1" applyFill="1" applyAlignment="1" applyProtection="1">
      <alignment horizontal="right"/>
    </xf>
    <xf numFmtId="0" fontId="7" fillId="0" borderId="0" xfId="0" applyFont="1" applyProtection="1"/>
    <xf numFmtId="0" fontId="4" fillId="0" borderId="5" xfId="0" applyFont="1" applyBorder="1" applyProtection="1"/>
    <xf numFmtId="0" fontId="7" fillId="0" borderId="1" xfId="0" applyFont="1" applyBorder="1" applyProtection="1"/>
    <xf numFmtId="0" fontId="5" fillId="0" borderId="0" xfId="20" applyProtection="1"/>
    <xf numFmtId="0" fontId="4" fillId="0" borderId="0" xfId="0" applyFont="1" applyBorder="1" applyProtection="1"/>
    <xf numFmtId="0" fontId="3" fillId="0" borderId="0" xfId="8" applyProtection="1"/>
    <xf numFmtId="0" fontId="2" fillId="0" borderId="26" xfId="0" applyFont="1" applyBorder="1" applyProtection="1"/>
    <xf numFmtId="0" fontId="0" fillId="0" borderId="27" xfId="0" applyBorder="1" applyProtection="1"/>
    <xf numFmtId="0" fontId="0" fillId="0" borderId="28" xfId="0" applyBorder="1" applyProtection="1"/>
    <xf numFmtId="0" fontId="21" fillId="0" borderId="4" xfId="0" applyFont="1" applyBorder="1" applyAlignment="1" applyProtection="1">
      <alignment horizontal="right"/>
    </xf>
    <xf numFmtId="0" fontId="4" fillId="0" borderId="4" xfId="0" applyFont="1" applyBorder="1" applyProtection="1"/>
    <xf numFmtId="0" fontId="7" fillId="0" borderId="27" xfId="0" applyFont="1" applyBorder="1" applyProtection="1"/>
    <xf numFmtId="0" fontId="0" fillId="0" borderId="27" xfId="0" applyFill="1" applyBorder="1" applyProtection="1"/>
    <xf numFmtId="0" fontId="4" fillId="0" borderId="0" xfId="22" applyFill="1" applyProtection="1"/>
    <xf numFmtId="0" fontId="20" fillId="3" borderId="12" xfId="25" applyNumberFormat="1" applyFont="1" applyBorder="1" applyProtection="1">
      <protection locked="0"/>
    </xf>
    <xf numFmtId="0" fontId="20" fillId="3" borderId="4" xfId="25" applyNumberFormat="1" applyFont="1" applyBorder="1" applyProtection="1">
      <protection locked="0"/>
    </xf>
    <xf numFmtId="0" fontId="20" fillId="3" borderId="13" xfId="25" applyNumberFormat="1" applyFont="1" applyBorder="1" applyProtection="1">
      <protection locked="0"/>
    </xf>
    <xf numFmtId="164" fontId="7" fillId="3" borderId="23" xfId="27" applyNumberFormat="1" applyFont="1" applyBorder="1" applyProtection="1">
      <protection locked="0"/>
    </xf>
    <xf numFmtId="164" fontId="7" fillId="3" borderId="29" xfId="27" applyNumberFormat="1" applyFont="1" applyBorder="1" applyProtection="1">
      <protection locked="0"/>
    </xf>
    <xf numFmtId="165" fontId="7" fillId="3" borderId="23" xfId="27" applyNumberFormat="1" applyFont="1" applyBorder="1" applyProtection="1">
      <protection locked="0"/>
    </xf>
    <xf numFmtId="164" fontId="19" fillId="3" borderId="0" xfId="27" applyNumberFormat="1" applyFont="1" applyProtection="1">
      <protection locked="0"/>
    </xf>
    <xf numFmtId="0" fontId="19" fillId="6" borderId="0" xfId="29" applyFont="1" applyFill="1" applyAlignment="1" applyProtection="1">
      <alignment horizontal="center"/>
      <protection locked="0"/>
    </xf>
    <xf numFmtId="164" fontId="19" fillId="6" borderId="0" xfId="29" applyNumberFormat="1" applyFont="1" applyFill="1" applyAlignment="1" applyProtection="1">
      <alignment horizontal="center"/>
      <protection locked="0"/>
    </xf>
    <xf numFmtId="164" fontId="7" fillId="3" borderId="0" xfId="29" applyNumberFormat="1" applyFont="1" applyProtection="1">
      <protection locked="0"/>
    </xf>
    <xf numFmtId="0" fontId="20" fillId="6" borderId="30" xfId="0" applyFont="1" applyFill="1" applyBorder="1" applyProtection="1">
      <protection locked="0"/>
    </xf>
    <xf numFmtId="0" fontId="20" fillId="6" borderId="31" xfId="0" applyFont="1" applyFill="1" applyBorder="1" applyProtection="1">
      <protection locked="0"/>
    </xf>
    <xf numFmtId="0" fontId="20" fillId="6" borderId="32" xfId="0" applyFont="1" applyFill="1" applyBorder="1" applyProtection="1">
      <protection locked="0"/>
    </xf>
    <xf numFmtId="164" fontId="7" fillId="3" borderId="0" xfId="23" applyNumberFormat="1" applyFont="1" applyProtection="1">
      <protection locked="0"/>
    </xf>
    <xf numFmtId="10" fontId="7" fillId="3" borderId="0" xfId="23" applyNumberFormat="1" applyFont="1" applyProtection="1">
      <protection locked="0"/>
    </xf>
    <xf numFmtId="10" fontId="7" fillId="3" borderId="29" xfId="23" applyNumberFormat="1" applyFont="1" applyBorder="1" applyProtection="1">
      <protection locked="0"/>
    </xf>
    <xf numFmtId="10" fontId="7" fillId="3" borderId="0" xfId="24" applyNumberFormat="1" applyFont="1" applyProtection="1">
      <protection locked="0"/>
    </xf>
    <xf numFmtId="0" fontId="25" fillId="3" borderId="0" xfId="26" applyNumberFormat="1" applyFont="1" applyAlignment="1" applyProtection="1">
      <alignment horizontal="right"/>
      <protection locked="0"/>
    </xf>
    <xf numFmtId="0" fontId="25" fillId="3" borderId="0" xfId="26" applyFont="1" applyAlignment="1" applyProtection="1">
      <alignment horizontal="right"/>
      <protection locked="0"/>
    </xf>
    <xf numFmtId="164" fontId="14" fillId="6" borderId="0" xfId="26" applyNumberFormat="1" applyFont="1" applyFill="1" applyProtection="1">
      <protection locked="0"/>
    </xf>
    <xf numFmtId="10" fontId="14" fillId="6" borderId="0" xfId="26" applyNumberFormat="1" applyFont="1" applyFill="1" applyProtection="1">
      <protection locked="0"/>
    </xf>
    <xf numFmtId="164" fontId="5" fillId="6" borderId="0" xfId="26" applyNumberFormat="1" applyFont="1" applyFill="1" applyProtection="1">
      <protection locked="0"/>
    </xf>
    <xf numFmtId="0" fontId="5" fillId="6" borderId="0" xfId="26" applyNumberFormat="1" applyFont="1" applyFill="1" applyProtection="1">
      <protection locked="0"/>
    </xf>
    <xf numFmtId="164" fontId="20" fillId="3" borderId="0" xfId="24" applyNumberFormat="1" applyFont="1" applyProtection="1">
      <protection locked="0"/>
    </xf>
    <xf numFmtId="0" fontId="0" fillId="6" borderId="0" xfId="0" applyFill="1" applyProtection="1">
      <protection locked="0"/>
    </xf>
    <xf numFmtId="0" fontId="15" fillId="6" borderId="0" xfId="0" applyFont="1" applyFill="1" applyProtection="1">
      <protection locked="0"/>
    </xf>
    <xf numFmtId="0" fontId="2" fillId="0" borderId="0" xfId="0" applyFont="1" applyFill="1"/>
    <xf numFmtId="0" fontId="2" fillId="0" borderId="0" xfId="0" applyFont="1"/>
    <xf numFmtId="0" fontId="21" fillId="0" borderId="0" xfId="0" applyFont="1" applyBorder="1" applyAlignment="1" applyProtection="1">
      <alignment horizontal="right"/>
    </xf>
    <xf numFmtId="0" fontId="21" fillId="0" borderId="0" xfId="0" applyFont="1" applyBorder="1" applyProtection="1"/>
    <xf numFmtId="0" fontId="15" fillId="0" borderId="0" xfId="0" applyFont="1" applyBorder="1"/>
    <xf numFmtId="0" fontId="4" fillId="0" borderId="0" xfId="22" applyFont="1" applyFill="1" applyProtection="1"/>
    <xf numFmtId="0" fontId="2" fillId="0" borderId="0" xfId="0" applyFont="1" applyAlignment="1">
      <alignment horizontal="left"/>
    </xf>
    <xf numFmtId="10" fontId="14" fillId="8" borderId="0" xfId="26" applyNumberFormat="1" applyFont="1" applyFill="1" applyProtection="1">
      <protection locked="0"/>
    </xf>
    <xf numFmtId="0" fontId="15" fillId="0" borderId="12" xfId="0" applyFont="1" applyFill="1" applyBorder="1" applyAlignment="1" applyProtection="1">
      <alignment horizontal="right"/>
    </xf>
    <xf numFmtId="168" fontId="7" fillId="3" borderId="0" xfId="29" applyNumberFormat="1" applyFont="1" applyProtection="1">
      <protection locked="0"/>
    </xf>
    <xf numFmtId="168" fontId="0" fillId="0" borderId="4" xfId="0" applyNumberFormat="1" applyBorder="1" applyProtection="1"/>
    <xf numFmtId="168" fontId="1" fillId="0" borderId="0" xfId="2" applyNumberFormat="1" applyProtection="1"/>
    <xf numFmtId="169" fontId="15" fillId="0" borderId="14" xfId="0" applyNumberFormat="1" applyFont="1" applyBorder="1" applyAlignment="1" applyProtection="1">
      <alignment horizontal="center"/>
    </xf>
    <xf numFmtId="169" fontId="15" fillId="0" borderId="16" xfId="0" applyNumberFormat="1" applyFont="1" applyBorder="1" applyAlignment="1" applyProtection="1">
      <alignment horizontal="center"/>
    </xf>
    <xf numFmtId="169" fontId="15" fillId="0" borderId="15" xfId="0" applyNumberFormat="1" applyFont="1" applyBorder="1" applyAlignment="1" applyProtection="1">
      <alignment horizontal="center"/>
    </xf>
    <xf numFmtId="169" fontId="15" fillId="0" borderId="17" xfId="0" applyNumberFormat="1" applyFont="1" applyBorder="1" applyAlignment="1" applyProtection="1">
      <alignment horizontal="center"/>
    </xf>
    <xf numFmtId="169" fontId="15" fillId="0" borderId="18" xfId="0" applyNumberFormat="1" applyFont="1" applyBorder="1" applyAlignment="1" applyProtection="1">
      <alignment horizontal="center"/>
    </xf>
    <xf numFmtId="169" fontId="15" fillId="0" borderId="0" xfId="0" applyNumberFormat="1" applyFont="1" applyAlignment="1" applyProtection="1">
      <alignment horizontal="center"/>
    </xf>
    <xf numFmtId="168" fontId="1" fillId="0" borderId="0" xfId="2" applyNumberFormat="1" applyAlignment="1" applyProtection="1">
      <alignment horizontal="right"/>
    </xf>
    <xf numFmtId="168" fontId="1" fillId="0" borderId="9" xfId="2" applyNumberFormat="1" applyBorder="1" applyProtection="1"/>
    <xf numFmtId="168" fontId="7" fillId="3" borderId="0" xfId="30" applyNumberFormat="1" applyFont="1" applyProtection="1">
      <protection locked="0"/>
    </xf>
    <xf numFmtId="168" fontId="12" fillId="3" borderId="0" xfId="0" applyNumberFormat="1" applyFont="1" applyFill="1" applyProtection="1">
      <protection locked="0"/>
    </xf>
    <xf numFmtId="168" fontId="1" fillId="0" borderId="0" xfId="30" applyNumberFormat="1" applyFont="1" applyFill="1" applyAlignment="1" applyProtection="1">
      <alignment horizontal="center"/>
    </xf>
    <xf numFmtId="168" fontId="15" fillId="0" borderId="14" xfId="0" applyNumberFormat="1" applyFont="1" applyBorder="1" applyProtection="1"/>
    <xf numFmtId="168" fontId="15" fillId="0" borderId="16" xfId="0" applyNumberFormat="1" applyFont="1" applyBorder="1" applyProtection="1"/>
    <xf numFmtId="168" fontId="15" fillId="0" borderId="15" xfId="0" applyNumberFormat="1" applyFont="1" applyBorder="1" applyProtection="1"/>
    <xf numFmtId="168" fontId="1" fillId="0" borderId="0" xfId="1" applyNumberFormat="1" applyProtection="1"/>
    <xf numFmtId="168" fontId="12" fillId="0" borderId="0" xfId="0" applyNumberFormat="1" applyFont="1" applyProtection="1"/>
    <xf numFmtId="168" fontId="18" fillId="0" borderId="0" xfId="1" applyNumberFormat="1" applyFont="1" applyProtection="1"/>
    <xf numFmtId="168" fontId="1" fillId="0" borderId="0" xfId="1" applyNumberFormat="1" applyFont="1" applyAlignment="1" applyProtection="1">
      <alignment horizontal="center"/>
    </xf>
    <xf numFmtId="168" fontId="15" fillId="0" borderId="23" xfId="0" applyNumberFormat="1" applyFont="1" applyBorder="1" applyProtection="1"/>
    <xf numFmtId="169" fontId="15" fillId="0" borderId="33" xfId="0" applyNumberFormat="1" applyFont="1" applyFill="1" applyBorder="1" applyAlignment="1" applyProtection="1">
      <alignment horizontal="right"/>
    </xf>
    <xf numFmtId="169" fontId="15" fillId="0" borderId="24" xfId="0" applyNumberFormat="1" applyFont="1" applyFill="1" applyBorder="1" applyAlignment="1" applyProtection="1">
      <alignment horizontal="right"/>
    </xf>
    <xf numFmtId="169" fontId="15" fillId="0" borderId="34" xfId="0" applyNumberFormat="1" applyFont="1" applyFill="1" applyBorder="1" applyAlignment="1" applyProtection="1">
      <alignment horizontal="right"/>
    </xf>
    <xf numFmtId="169" fontId="15" fillId="0" borderId="0" xfId="0" applyNumberFormat="1" applyFont="1" applyFill="1" applyBorder="1" applyAlignment="1" applyProtection="1">
      <alignment horizontal="left"/>
    </xf>
    <xf numFmtId="168" fontId="15" fillId="0" borderId="0" xfId="0" applyNumberFormat="1" applyFont="1" applyFill="1" applyBorder="1" applyAlignment="1" applyProtection="1">
      <alignment horizontal="left"/>
    </xf>
    <xf numFmtId="169" fontId="15" fillId="0" borderId="18" xfId="0" applyNumberFormat="1" applyFont="1" applyFill="1" applyBorder="1" applyAlignment="1" applyProtection="1">
      <alignment horizontal="left"/>
    </xf>
    <xf numFmtId="168" fontId="15" fillId="0" borderId="18" xfId="0" applyNumberFormat="1" applyFont="1" applyFill="1" applyBorder="1" applyAlignment="1" applyProtection="1">
      <alignment horizontal="left"/>
    </xf>
    <xf numFmtId="168" fontId="1" fillId="0" borderId="0" xfId="1" applyNumberFormat="1" applyAlignment="1" applyProtection="1">
      <alignment horizontal="center"/>
    </xf>
    <xf numFmtId="168" fontId="1" fillId="0" borderId="20" xfId="1" applyNumberFormat="1" applyBorder="1" applyProtection="1"/>
    <xf numFmtId="168" fontId="1" fillId="0" borderId="25" xfId="1" applyNumberFormat="1" applyBorder="1" applyProtection="1"/>
    <xf numFmtId="169" fontId="1" fillId="0" borderId="0" xfId="23" applyNumberFormat="1" applyFont="1" applyFill="1" applyProtection="1"/>
    <xf numFmtId="168" fontId="0" fillId="0" borderId="0" xfId="0" applyNumberFormat="1" applyProtection="1"/>
    <xf numFmtId="169" fontId="7" fillId="3" borderId="0" xfId="23" applyNumberFormat="1" applyFont="1" applyProtection="1">
      <protection locked="0"/>
    </xf>
    <xf numFmtId="169" fontId="0" fillId="0" borderId="0" xfId="0" applyNumberFormat="1" applyProtection="1"/>
    <xf numFmtId="168" fontId="1" fillId="0" borderId="0" xfId="23" applyNumberFormat="1" applyFont="1" applyFill="1" applyProtection="1"/>
    <xf numFmtId="168" fontId="1" fillId="0" borderId="0" xfId="23" applyNumberFormat="1" applyFont="1" applyFill="1" applyAlignment="1" applyProtection="1">
      <alignment horizontal="center"/>
    </xf>
    <xf numFmtId="169" fontId="5" fillId="0" borderId="0" xfId="20" applyNumberFormat="1" applyProtection="1"/>
    <xf numFmtId="168" fontId="5" fillId="0" borderId="0" xfId="20" applyNumberFormat="1" applyProtection="1"/>
    <xf numFmtId="169" fontId="5" fillId="0" borderId="9" xfId="20" applyNumberFormat="1" applyBorder="1" applyProtection="1"/>
    <xf numFmtId="168" fontId="14" fillId="6" borderId="0" xfId="26" applyNumberFormat="1" applyFont="1" applyFill="1" applyProtection="1">
      <protection locked="0"/>
    </xf>
    <xf numFmtId="168" fontId="5" fillId="6" borderId="0" xfId="26" applyNumberFormat="1" applyFont="1" applyFill="1" applyProtection="1">
      <protection locked="0"/>
    </xf>
    <xf numFmtId="169" fontId="14" fillId="6" borderId="0" xfId="26" applyNumberFormat="1" applyFont="1" applyFill="1" applyProtection="1">
      <protection locked="0"/>
    </xf>
    <xf numFmtId="169" fontId="5" fillId="6" borderId="0" xfId="26" applyNumberFormat="1" applyFont="1" applyFill="1" applyProtection="1">
      <protection locked="0"/>
    </xf>
    <xf numFmtId="168" fontId="15" fillId="0" borderId="0" xfId="0" applyNumberFormat="1" applyFont="1" applyProtection="1">
      <protection locked="0"/>
    </xf>
    <xf numFmtId="168" fontId="15" fillId="0" borderId="0" xfId="0" applyNumberFormat="1" applyFont="1" applyAlignment="1" applyProtection="1">
      <alignment horizontal="center"/>
      <protection locked="0"/>
    </xf>
    <xf numFmtId="169" fontId="7" fillId="2" borderId="8" xfId="0" applyNumberFormat="1" applyFont="1" applyFill="1" applyBorder="1" applyProtection="1"/>
    <xf numFmtId="169" fontId="15" fillId="0" borderId="14" xfId="0" applyNumberFormat="1" applyFont="1" applyBorder="1" applyProtection="1"/>
    <xf numFmtId="169" fontId="7" fillId="2" borderId="0" xfId="0" applyNumberFormat="1" applyFont="1" applyFill="1" applyProtection="1"/>
    <xf numFmtId="169" fontId="15" fillId="0" borderId="16" xfId="0" applyNumberFormat="1" applyFont="1" applyBorder="1" applyProtection="1"/>
    <xf numFmtId="169" fontId="15" fillId="0" borderId="15" xfId="0" applyNumberFormat="1" applyFont="1" applyBorder="1" applyProtection="1"/>
    <xf numFmtId="170" fontId="15" fillId="0" borderId="33" xfId="0" applyNumberFormat="1" applyFont="1" applyFill="1" applyBorder="1" applyAlignment="1" applyProtection="1">
      <alignment horizontal="right"/>
    </xf>
    <xf numFmtId="170" fontId="15" fillId="0" borderId="24" xfId="0" applyNumberFormat="1" applyFont="1" applyFill="1" applyBorder="1" applyAlignment="1" applyProtection="1">
      <alignment horizontal="right"/>
    </xf>
    <xf numFmtId="170" fontId="15" fillId="0" borderId="34" xfId="0" applyNumberFormat="1" applyFont="1" applyFill="1" applyBorder="1" applyAlignment="1" applyProtection="1">
      <alignment horizontal="right"/>
    </xf>
    <xf numFmtId="170" fontId="15" fillId="0" borderId="23" xfId="0" applyNumberFormat="1" applyFont="1" applyFill="1" applyBorder="1" applyProtection="1"/>
    <xf numFmtId="170" fontId="15" fillId="0" borderId="0" xfId="0" applyNumberFormat="1" applyFont="1" applyFill="1" applyBorder="1" applyAlignment="1" applyProtection="1">
      <alignment horizontal="left"/>
    </xf>
    <xf numFmtId="170" fontId="15" fillId="0" borderId="18" xfId="0" applyNumberFormat="1" applyFont="1" applyFill="1" applyBorder="1" applyAlignment="1" applyProtection="1">
      <alignment horizontal="left"/>
    </xf>
    <xf numFmtId="0" fontId="2" fillId="0" borderId="0" xfId="0" applyFont="1" applyProtection="1"/>
    <xf numFmtId="0" fontId="15" fillId="9" borderId="35" xfId="21" applyFont="1" applyFill="1" applyBorder="1" applyProtection="1"/>
    <xf numFmtId="1" fontId="7" fillId="9" borderId="0" xfId="21" applyNumberFormat="1" applyFont="1" applyFill="1" applyBorder="1" applyProtection="1"/>
    <xf numFmtId="9" fontId="7" fillId="9" borderId="0" xfId="21" applyNumberFormat="1" applyFont="1" applyFill="1" applyBorder="1" applyProtection="1"/>
    <xf numFmtId="164" fontId="7" fillId="9" borderId="0" xfId="21" applyNumberFormat="1" applyFont="1" applyFill="1" applyBorder="1" applyProtection="1"/>
    <xf numFmtId="0" fontId="26" fillId="7" borderId="36" xfId="21" applyFill="1" applyBorder="1" applyProtection="1"/>
    <xf numFmtId="0" fontId="26" fillId="7" borderId="37" xfId="21" applyFill="1" applyBorder="1" applyProtection="1"/>
    <xf numFmtId="0" fontId="26" fillId="7" borderId="35" xfId="21" applyFill="1" applyBorder="1" applyProtection="1"/>
    <xf numFmtId="0" fontId="26" fillId="7" borderId="38" xfId="21" applyFill="1" applyBorder="1" applyProtection="1"/>
    <xf numFmtId="0" fontId="26" fillId="7" borderId="39" xfId="21" applyFill="1" applyBorder="1" applyProtection="1"/>
    <xf numFmtId="0" fontId="26" fillId="0" borderId="0" xfId="21" applyFill="1" applyProtection="1"/>
    <xf numFmtId="0" fontId="15" fillId="0" borderId="40" xfId="21" applyFont="1" applyFill="1" applyBorder="1" applyProtection="1"/>
    <xf numFmtId="0" fontId="7" fillId="0" borderId="41" xfId="21" applyFont="1" applyFill="1" applyBorder="1" applyProtection="1"/>
    <xf numFmtId="0" fontId="15" fillId="10" borderId="36" xfId="21" applyFont="1" applyFill="1" applyBorder="1" applyAlignment="1" applyProtection="1">
      <alignment horizontal="left"/>
    </xf>
    <xf numFmtId="164" fontId="7" fillId="10" borderId="37" xfId="21" applyNumberFormat="1" applyFont="1" applyFill="1" applyBorder="1" applyProtection="1"/>
    <xf numFmtId="0" fontId="15" fillId="10" borderId="35" xfId="21" applyFont="1" applyFill="1" applyBorder="1" applyAlignment="1" applyProtection="1">
      <alignment horizontal="left"/>
    </xf>
    <xf numFmtId="164" fontId="7" fillId="10" borderId="0" xfId="21" applyNumberFormat="1" applyFont="1" applyFill="1" applyBorder="1" applyProtection="1"/>
    <xf numFmtId="0" fontId="15" fillId="10" borderId="35" xfId="21" applyFont="1" applyFill="1" applyBorder="1" applyProtection="1"/>
    <xf numFmtId="9" fontId="7" fillId="10" borderId="0" xfId="21" applyNumberFormat="1" applyFont="1" applyFill="1" applyBorder="1" applyProtection="1"/>
    <xf numFmtId="0" fontId="22" fillId="10" borderId="35" xfId="21" applyFont="1" applyFill="1" applyBorder="1" applyProtection="1"/>
    <xf numFmtId="9" fontId="22" fillId="10" borderId="0" xfId="21" applyNumberFormat="1" applyFont="1" applyFill="1" applyBorder="1" applyProtection="1"/>
    <xf numFmtId="0" fontId="7" fillId="10" borderId="0" xfId="21" applyFont="1" applyFill="1" applyBorder="1" applyProtection="1"/>
    <xf numFmtId="0" fontId="22" fillId="0" borderId="0" xfId="0" applyFont="1" applyProtection="1"/>
    <xf numFmtId="0" fontId="27" fillId="0" borderId="0" xfId="0" applyFont="1" applyProtection="1"/>
    <xf numFmtId="0" fontId="27" fillId="0" borderId="0" xfId="0" applyFont="1" applyAlignment="1">
      <alignment horizontal="center"/>
    </xf>
    <xf numFmtId="0" fontId="15" fillId="0" borderId="30" xfId="0" applyFont="1" applyBorder="1" applyAlignment="1" applyProtection="1">
      <alignment horizontal="center"/>
    </xf>
    <xf numFmtId="0" fontId="15" fillId="0" borderId="32" xfId="0" applyFont="1" applyBorder="1" applyAlignment="1" applyProtection="1">
      <alignment horizontal="center"/>
    </xf>
    <xf numFmtId="169" fontId="15" fillId="0" borderId="30" xfId="0" applyNumberFormat="1" applyFont="1" applyBorder="1" applyAlignment="1" applyProtection="1">
      <alignment horizontal="center"/>
    </xf>
    <xf numFmtId="169" fontId="15" fillId="0" borderId="31" xfId="0" applyNumberFormat="1" applyFont="1" applyBorder="1" applyAlignment="1" applyProtection="1">
      <alignment horizontal="center"/>
    </xf>
    <xf numFmtId="169" fontId="15" fillId="0" borderId="32" xfId="0" applyNumberFormat="1" applyFont="1" applyBorder="1" applyAlignment="1" applyProtection="1">
      <alignment horizontal="center"/>
    </xf>
    <xf numFmtId="0" fontId="15" fillId="0" borderId="0" xfId="0" applyFont="1" applyAlignment="1">
      <alignment horizontal="center"/>
    </xf>
    <xf numFmtId="167" fontId="15" fillId="0" borderId="0" xfId="0" applyNumberFormat="1" applyFont="1" applyAlignment="1">
      <alignment horizontal="center"/>
    </xf>
    <xf numFmtId="167" fontId="15" fillId="0" borderId="18" xfId="0" applyNumberFormat="1" applyFont="1" applyBorder="1" applyAlignment="1">
      <alignment horizontal="center"/>
    </xf>
    <xf numFmtId="167" fontId="15" fillId="0" borderId="21" xfId="0" applyNumberFormat="1" applyFont="1" applyBorder="1" applyAlignment="1">
      <alignment horizontal="center"/>
    </xf>
    <xf numFmtId="170" fontId="15" fillId="0" borderId="14" xfId="0" applyNumberFormat="1" applyFont="1" applyBorder="1" applyProtection="1"/>
    <xf numFmtId="170" fontId="15" fillId="0" borderId="16" xfId="0" applyNumberFormat="1" applyFont="1" applyBorder="1" applyProtection="1"/>
    <xf numFmtId="170" fontId="15" fillId="0" borderId="15" xfId="0" applyNumberFormat="1" applyFont="1" applyBorder="1" applyProtection="1"/>
    <xf numFmtId="170" fontId="15" fillId="0" borderId="14" xfId="0" applyNumberFormat="1" applyFont="1" applyFill="1" applyBorder="1" applyProtection="1"/>
    <xf numFmtId="170" fontId="15" fillId="0" borderId="16" xfId="0" applyNumberFormat="1" applyFont="1" applyFill="1" applyBorder="1" applyProtection="1"/>
    <xf numFmtId="170" fontId="15" fillId="0" borderId="18" xfId="0" applyNumberFormat="1" applyFont="1" applyFill="1" applyBorder="1" applyAlignment="1" applyProtection="1">
      <alignment horizontal="right"/>
    </xf>
    <xf numFmtId="170" fontId="15" fillId="0" borderId="0" xfId="0" applyNumberFormat="1" applyFont="1" applyAlignment="1" applyProtection="1">
      <alignment horizontal="right"/>
    </xf>
    <xf numFmtId="170" fontId="15" fillId="0" borderId="18" xfId="0" applyNumberFormat="1" applyFont="1" applyBorder="1" applyAlignment="1" applyProtection="1">
      <alignment horizontal="right"/>
    </xf>
    <xf numFmtId="0" fontId="4" fillId="8" borderId="0" xfId="0" applyNumberFormat="1" applyFont="1" applyFill="1" applyBorder="1" applyAlignment="1" applyProtection="1">
      <protection locked="0"/>
    </xf>
    <xf numFmtId="171" fontId="4" fillId="8" borderId="0" xfId="0" applyNumberFormat="1" applyFont="1" applyFill="1" applyBorder="1" applyAlignment="1" applyProtection="1">
      <protection locked="0"/>
    </xf>
    <xf numFmtId="168" fontId="7" fillId="8" borderId="0" xfId="0" applyNumberFormat="1" applyFont="1" applyFill="1" applyBorder="1" applyAlignment="1" applyProtection="1">
      <protection locked="0"/>
    </xf>
    <xf numFmtId="0" fontId="1" fillId="8" borderId="0" xfId="0" applyNumberFormat="1" applyFont="1" applyFill="1" applyBorder="1" applyAlignment="1" applyProtection="1">
      <protection locked="0"/>
    </xf>
    <xf numFmtId="168" fontId="12" fillId="8" borderId="0" xfId="0" applyNumberFormat="1" applyFont="1" applyFill="1" applyBorder="1" applyAlignment="1" applyProtection="1">
      <protection locked="0"/>
    </xf>
    <xf numFmtId="0" fontId="1" fillId="0" borderId="0" xfId="0" applyFont="1" applyAlignment="1"/>
    <xf numFmtId="0" fontId="1" fillId="0" borderId="0" xfId="0" applyFont="1" applyFill="1" applyAlignment="1"/>
    <xf numFmtId="0" fontId="1" fillId="0" borderId="0" xfId="0" applyFont="1" applyAlignment="1">
      <alignment horizontal="center"/>
    </xf>
    <xf numFmtId="0" fontId="2" fillId="0" borderId="0" xfId="0" applyFont="1" applyAlignment="1"/>
    <xf numFmtId="0" fontId="1" fillId="11" borderId="0" xfId="0" applyFont="1" applyFill="1" applyAlignment="1"/>
    <xf numFmtId="0" fontId="1" fillId="0" borderId="0" xfId="0" applyFont="1" applyFill="1" applyAlignment="1">
      <alignment horizontal="center"/>
    </xf>
    <xf numFmtId="14" fontId="1" fillId="8" borderId="0" xfId="0" applyNumberFormat="1" applyFont="1" applyFill="1" applyAlignment="1">
      <alignment horizontal="right"/>
    </xf>
    <xf numFmtId="0" fontId="2" fillId="11" borderId="0" xfId="0" applyFont="1" applyFill="1" applyAlignment="1">
      <alignment horizontal="center"/>
    </xf>
    <xf numFmtId="0" fontId="2" fillId="0" borderId="0" xfId="0" applyFont="1" applyFill="1" applyAlignment="1">
      <alignment horizontal="center"/>
    </xf>
    <xf numFmtId="0" fontId="2" fillId="0" borderId="0" xfId="0" applyFont="1" applyAlignment="1">
      <alignment horizontal="center"/>
    </xf>
    <xf numFmtId="0" fontId="2" fillId="0" borderId="0" xfId="0" applyFont="1" applyFill="1" applyAlignment="1"/>
    <xf numFmtId="0" fontId="1" fillId="0" borderId="0" xfId="0" applyFont="1" applyAlignment="1">
      <alignment horizontal="left"/>
    </xf>
    <xf numFmtId="172" fontId="1" fillId="0" borderId="0" xfId="0" applyNumberFormat="1" applyFont="1" applyFill="1" applyAlignment="1">
      <alignment horizontal="right"/>
    </xf>
    <xf numFmtId="1" fontId="1" fillId="8" borderId="0" xfId="0" applyNumberFormat="1" applyFont="1" applyFill="1" applyAlignment="1">
      <alignment horizontal="center"/>
    </xf>
    <xf numFmtId="0" fontId="1" fillId="8" borderId="0" xfId="0" applyFont="1" applyFill="1" applyAlignment="1">
      <alignment horizontal="right"/>
    </xf>
    <xf numFmtId="1" fontId="1" fillId="0" borderId="0" xfId="0" applyNumberFormat="1" applyFont="1" applyFill="1" applyAlignment="1">
      <alignment horizontal="center"/>
    </xf>
    <xf numFmtId="173" fontId="1" fillId="0" borderId="0" xfId="0" applyNumberFormat="1" applyFont="1" applyFill="1" applyAlignment="1">
      <alignment horizontal="center"/>
    </xf>
    <xf numFmtId="2" fontId="1" fillId="0" borderId="0" xfId="0" applyNumberFormat="1" applyFont="1" applyFill="1" applyAlignment="1">
      <alignment horizontal="center"/>
    </xf>
    <xf numFmtId="9" fontId="1" fillId="8" borderId="0" xfId="21" applyNumberFormat="1" applyFont="1" applyFill="1" applyAlignment="1">
      <alignment horizontal="right"/>
    </xf>
    <xf numFmtId="2" fontId="1" fillId="0" borderId="0" xfId="0" applyNumberFormat="1" applyFont="1" applyFill="1" applyAlignment="1">
      <alignment horizontal="right"/>
    </xf>
    <xf numFmtId="1" fontId="1" fillId="0" borderId="0" xfId="0" applyNumberFormat="1" applyFont="1" applyAlignment="1">
      <alignment horizontal="center"/>
    </xf>
    <xf numFmtId="0" fontId="1" fillId="0" borderId="0" xfId="21" applyFont="1" applyFill="1" applyAlignment="1"/>
    <xf numFmtId="0" fontId="2" fillId="0" borderId="0" xfId="21" applyFont="1" applyFill="1" applyAlignment="1">
      <alignment horizontal="left"/>
    </xf>
    <xf numFmtId="0" fontId="1" fillId="0" borderId="42" xfId="0" applyFont="1" applyBorder="1" applyAlignment="1">
      <alignment horizontal="center"/>
    </xf>
    <xf numFmtId="1" fontId="1" fillId="11" borderId="0" xfId="0" applyNumberFormat="1" applyFont="1" applyFill="1" applyAlignment="1">
      <alignment horizontal="center"/>
    </xf>
    <xf numFmtId="0" fontId="1" fillId="8" borderId="0" xfId="0" applyFont="1" applyFill="1" applyAlignment="1">
      <alignment horizontal="center"/>
    </xf>
    <xf numFmtId="172" fontId="1" fillId="0" borderId="0" xfId="0" applyNumberFormat="1" applyFont="1" applyAlignment="1">
      <alignment horizontal="center"/>
    </xf>
    <xf numFmtId="1" fontId="1" fillId="12" borderId="0" xfId="0" applyNumberFormat="1" applyFont="1" applyFill="1" applyAlignment="1">
      <alignment horizontal="center"/>
    </xf>
    <xf numFmtId="173" fontId="1" fillId="12" borderId="0" xfId="0" applyNumberFormat="1" applyFont="1" applyFill="1" applyAlignment="1">
      <alignment horizontal="center"/>
    </xf>
    <xf numFmtId="0" fontId="1" fillId="12" borderId="0" xfId="0" applyFont="1" applyFill="1" applyAlignment="1">
      <alignment horizontal="center"/>
    </xf>
    <xf numFmtId="2" fontId="1" fillId="12" borderId="0" xfId="0" applyNumberFormat="1" applyFont="1" applyFill="1" applyAlignment="1">
      <alignment horizontal="center"/>
    </xf>
    <xf numFmtId="0" fontId="1" fillId="0" borderId="18" xfId="0" applyFont="1" applyBorder="1" applyAlignment="1">
      <alignment horizontal="center"/>
    </xf>
    <xf numFmtId="2" fontId="1" fillId="0" borderId="18" xfId="0" applyNumberFormat="1" applyFont="1" applyBorder="1" applyAlignment="1">
      <alignment horizontal="center"/>
    </xf>
    <xf numFmtId="172" fontId="1" fillId="0" borderId="18" xfId="0" applyNumberFormat="1" applyFont="1" applyBorder="1" applyAlignment="1">
      <alignment horizontal="center"/>
    </xf>
    <xf numFmtId="172" fontId="1" fillId="0" borderId="0" xfId="0" applyNumberFormat="1" applyFont="1" applyFill="1" applyAlignment="1">
      <alignment horizontal="center"/>
    </xf>
    <xf numFmtId="0" fontId="1" fillId="0" borderId="0" xfId="0" applyFont="1" applyBorder="1" applyAlignment="1">
      <alignment horizontal="center"/>
    </xf>
    <xf numFmtId="172" fontId="1" fillId="0" borderId="0" xfId="0" applyNumberFormat="1" applyFont="1" applyBorder="1" applyAlignment="1">
      <alignment horizontal="center"/>
    </xf>
    <xf numFmtId="0" fontId="1" fillId="0" borderId="0" xfId="0" applyFont="1"/>
    <xf numFmtId="0" fontId="29" fillId="0" borderId="0" xfId="0" applyFont="1"/>
    <xf numFmtId="0" fontId="30" fillId="0" borderId="0" xfId="0" applyFont="1"/>
    <xf numFmtId="0" fontId="1" fillId="8" borderId="0" xfId="0" applyFont="1" applyFill="1"/>
    <xf numFmtId="6" fontId="1" fillId="6" borderId="0" xfId="0" applyNumberFormat="1" applyFont="1" applyFill="1" applyAlignment="1">
      <alignment horizontal="center"/>
    </xf>
    <xf numFmtId="0" fontId="1" fillId="6" borderId="0" xfId="0" applyFont="1" applyFill="1" applyAlignment="1">
      <alignment horizontal="center"/>
    </xf>
    <xf numFmtId="8" fontId="1" fillId="0" borderId="0" xfId="0" applyNumberFormat="1" applyFont="1" applyAlignment="1">
      <alignment horizontal="center"/>
    </xf>
    <xf numFmtId="174" fontId="1" fillId="0" borderId="0" xfId="0" applyNumberFormat="1" applyFont="1" applyAlignment="1">
      <alignment horizontal="center"/>
    </xf>
    <xf numFmtId="1" fontId="1" fillId="0" borderId="0" xfId="0" applyNumberFormat="1" applyFont="1" applyFill="1" applyAlignment="1">
      <alignment horizontal="right"/>
    </xf>
    <xf numFmtId="2" fontId="1" fillId="11" borderId="0" xfId="0" applyNumberFormat="1" applyFont="1" applyFill="1" applyAlignment="1">
      <alignment horizontal="center"/>
    </xf>
    <xf numFmtId="0" fontId="0" fillId="8" borderId="0" xfId="0" applyFill="1"/>
    <xf numFmtId="0" fontId="31" fillId="0" borderId="0" xfId="0" applyFont="1"/>
    <xf numFmtId="0" fontId="32" fillId="0" borderId="0" xfId="0" applyFont="1"/>
    <xf numFmtId="0" fontId="0" fillId="0" borderId="0" xfId="0" applyAlignment="1">
      <alignment horizontal="center"/>
    </xf>
    <xf numFmtId="6" fontId="0" fillId="6" borderId="0" xfId="0" applyNumberFormat="1" applyFill="1" applyAlignment="1">
      <alignment horizontal="center"/>
    </xf>
    <xf numFmtId="0" fontId="0" fillId="6" borderId="0" xfId="0" applyFill="1" applyAlignment="1">
      <alignment horizontal="center"/>
    </xf>
    <xf numFmtId="8" fontId="0" fillId="0" borderId="0" xfId="0" applyNumberFormat="1" applyAlignment="1">
      <alignment horizontal="center"/>
    </xf>
    <xf numFmtId="174" fontId="0" fillId="0" borderId="0" xfId="0" applyNumberFormat="1" applyAlignment="1">
      <alignment horizontal="center"/>
    </xf>
    <xf numFmtId="6" fontId="0" fillId="6" borderId="14" xfId="0" applyNumberFormat="1" applyFill="1" applyBorder="1" applyAlignment="1">
      <alignment horizontal="center"/>
    </xf>
    <xf numFmtId="0" fontId="0" fillId="6" borderId="14" xfId="0" applyFill="1" applyBorder="1" applyAlignment="1">
      <alignment horizontal="center"/>
    </xf>
    <xf numFmtId="6" fontId="0" fillId="6" borderId="45" xfId="0" applyNumberFormat="1" applyFill="1" applyBorder="1" applyAlignment="1">
      <alignment horizontal="center"/>
    </xf>
    <xf numFmtId="0" fontId="0" fillId="6" borderId="45" xfId="0" applyFill="1" applyBorder="1" applyAlignment="1">
      <alignment horizontal="center"/>
    </xf>
    <xf numFmtId="6" fontId="0" fillId="6" borderId="43" xfId="0" applyNumberFormat="1" applyFill="1" applyBorder="1" applyAlignment="1">
      <alignment horizontal="center"/>
    </xf>
    <xf numFmtId="0" fontId="0" fillId="6" borderId="43" xfId="0" applyFill="1" applyBorder="1" applyAlignment="1">
      <alignment horizontal="center"/>
    </xf>
    <xf numFmtId="0" fontId="0" fillId="0" borderId="0" xfId="0" applyFill="1"/>
    <xf numFmtId="0" fontId="2" fillId="0" borderId="0" xfId="0" applyFont="1" applyAlignment="1">
      <alignment horizontal="center" vertical="center"/>
    </xf>
    <xf numFmtId="0" fontId="33" fillId="8" borderId="0" xfId="0" applyFont="1" applyFill="1"/>
    <xf numFmtId="0" fontId="33" fillId="8" borderId="0" xfId="0" applyNumberFormat="1" applyFont="1" applyFill="1" applyBorder="1" applyAlignment="1" applyProtection="1">
      <protection locked="0"/>
    </xf>
    <xf numFmtId="167" fontId="0" fillId="13" borderId="0" xfId="0" applyNumberFormat="1" applyFill="1" applyProtection="1"/>
    <xf numFmtId="166" fontId="35" fillId="8" borderId="0" xfId="0" applyNumberFormat="1" applyFont="1" applyFill="1" applyBorder="1" applyAlignment="1" applyProtection="1">
      <protection locked="0"/>
    </xf>
    <xf numFmtId="0" fontId="25" fillId="3" borderId="0" xfId="26" applyNumberFormat="1" applyFont="1" applyAlignment="1" applyProtection="1">
      <alignment horizontal="center" vertical="center"/>
      <protection locked="0"/>
    </xf>
    <xf numFmtId="168" fontId="36" fillId="3" borderId="0" xfId="30" applyNumberFormat="1" applyFont="1" applyProtection="1">
      <protection locked="0"/>
    </xf>
    <xf numFmtId="168" fontId="0" fillId="0" borderId="0" xfId="0" applyNumberFormat="1"/>
    <xf numFmtId="166" fontId="14" fillId="6" borderId="0" xfId="32" applyNumberFormat="1" applyFont="1" applyFill="1" applyProtection="1">
      <protection locked="0"/>
    </xf>
    <xf numFmtId="4" fontId="28" fillId="0" borderId="0" xfId="0" applyNumberFormat="1" applyFont="1"/>
    <xf numFmtId="4" fontId="37" fillId="0" borderId="0" xfId="0" applyNumberFormat="1" applyFont="1"/>
    <xf numFmtId="4" fontId="37" fillId="0" borderId="33" xfId="0" applyNumberFormat="1" applyFont="1" applyBorder="1" applyAlignment="1">
      <alignment horizontal="left" vertical="top" wrapText="1"/>
    </xf>
    <xf numFmtId="4" fontId="37" fillId="0" borderId="23" xfId="0" applyNumberFormat="1" applyFont="1" applyBorder="1" applyAlignment="1">
      <alignment horizontal="center" vertical="top" wrapText="1"/>
    </xf>
    <xf numFmtId="4" fontId="37" fillId="0" borderId="33" xfId="0" applyNumberFormat="1" applyFont="1" applyBorder="1"/>
    <xf numFmtId="3" fontId="37" fillId="0" borderId="23" xfId="0" applyNumberFormat="1" applyFont="1" applyBorder="1"/>
    <xf numFmtId="4" fontId="37" fillId="0" borderId="49" xfId="0" applyNumberFormat="1" applyFont="1" applyBorder="1"/>
    <xf numFmtId="3" fontId="37" fillId="0" borderId="50" xfId="0" applyNumberFormat="1" applyFont="1" applyBorder="1"/>
    <xf numFmtId="4" fontId="37" fillId="0" borderId="51" xfId="0" applyNumberFormat="1" applyFont="1" applyBorder="1"/>
    <xf numFmtId="4" fontId="37" fillId="0" borderId="52" xfId="0" applyNumberFormat="1" applyFont="1" applyBorder="1"/>
    <xf numFmtId="4" fontId="37" fillId="0" borderId="50" xfId="0" applyNumberFormat="1" applyFont="1" applyBorder="1"/>
    <xf numFmtId="3" fontId="37" fillId="0" borderId="52" xfId="0" applyNumberFormat="1" applyFont="1" applyBorder="1"/>
    <xf numFmtId="4" fontId="37" fillId="0" borderId="53" xfId="0" applyNumberFormat="1" applyFont="1" applyBorder="1"/>
    <xf numFmtId="3" fontId="37" fillId="0" borderId="46" xfId="0" applyNumberFormat="1" applyFont="1" applyBorder="1"/>
    <xf numFmtId="4" fontId="28" fillId="0" borderId="54" xfId="0" applyNumberFormat="1" applyFont="1" applyBorder="1"/>
    <xf numFmtId="3" fontId="28" fillId="0" borderId="55" xfId="0" applyNumberFormat="1" applyFont="1" applyBorder="1"/>
    <xf numFmtId="4" fontId="28" fillId="0" borderId="14" xfId="0" applyNumberFormat="1" applyFont="1" applyBorder="1" applyAlignment="1">
      <alignment vertical="top"/>
    </xf>
    <xf numFmtId="4" fontId="37" fillId="0" borderId="46" xfId="0" applyNumberFormat="1" applyFont="1" applyBorder="1"/>
    <xf numFmtId="0" fontId="28" fillId="0" borderId="0" xfId="0" applyFont="1" applyBorder="1" applyAlignment="1">
      <alignment horizontal="center" vertical="top" wrapText="1"/>
    </xf>
    <xf numFmtId="0" fontId="28" fillId="0" borderId="58" xfId="0" applyFont="1" applyBorder="1" applyAlignment="1">
      <alignment horizontal="center" vertical="top" wrapText="1"/>
    </xf>
    <xf numFmtId="0" fontId="28" fillId="0" borderId="59" xfId="0" applyFont="1" applyBorder="1" applyAlignment="1">
      <alignment horizontal="center" vertical="top" wrapText="1"/>
    </xf>
    <xf numFmtId="3" fontId="37" fillId="0" borderId="55" xfId="0" applyNumberFormat="1" applyFont="1" applyBorder="1" applyAlignment="1">
      <alignment horizontal="left" vertical="top"/>
    </xf>
    <xf numFmtId="0" fontId="37" fillId="0" borderId="55" xfId="0" applyFont="1" applyBorder="1" applyAlignment="1">
      <alignment vertical="top" wrapText="1"/>
    </xf>
    <xf numFmtId="0" fontId="37" fillId="0" borderId="61" xfId="0" applyFont="1" applyBorder="1" applyAlignment="1">
      <alignment horizontal="center" vertical="top" wrapText="1"/>
    </xf>
    <xf numFmtId="0" fontId="37" fillId="0" borderId="62" xfId="0" applyFont="1" applyBorder="1" applyAlignment="1">
      <alignment horizontal="center" vertical="top" wrapText="1"/>
    </xf>
    <xf numFmtId="0" fontId="37" fillId="0" borderId="63" xfId="0" applyFont="1" applyBorder="1" applyAlignment="1">
      <alignment horizontal="center" vertical="top" wrapText="1"/>
    </xf>
    <xf numFmtId="0" fontId="38" fillId="14" borderId="52" xfId="0" applyFont="1" applyFill="1" applyBorder="1" applyAlignment="1">
      <alignment vertical="top"/>
    </xf>
    <xf numFmtId="0" fontId="37" fillId="14" borderId="52" xfId="0" applyFont="1" applyFill="1" applyBorder="1" applyAlignment="1">
      <alignment vertical="top" wrapText="1"/>
    </xf>
    <xf numFmtId="0" fontId="37" fillId="14" borderId="65" xfId="0" applyFont="1" applyFill="1" applyBorder="1" applyAlignment="1">
      <alignment horizontal="center" vertical="top" wrapText="1"/>
    </xf>
    <xf numFmtId="0" fontId="37" fillId="14" borderId="66" xfId="0" applyFont="1" applyFill="1" applyBorder="1" applyAlignment="1">
      <alignment horizontal="center" vertical="top" wrapText="1"/>
    </xf>
    <xf numFmtId="2" fontId="37" fillId="14" borderId="65" xfId="0" applyNumberFormat="1" applyFont="1" applyFill="1" applyBorder="1" applyAlignment="1">
      <alignment horizontal="center" vertical="top" wrapText="1"/>
    </xf>
    <xf numFmtId="2" fontId="37" fillId="14" borderId="66" xfId="0" applyNumberFormat="1" applyFont="1" applyFill="1" applyBorder="1" applyAlignment="1">
      <alignment horizontal="center" vertical="top" wrapText="1"/>
    </xf>
    <xf numFmtId="2" fontId="37" fillId="14" borderId="67" xfId="0" applyNumberFormat="1" applyFont="1" applyFill="1" applyBorder="1" applyAlignment="1">
      <alignment horizontal="center" vertical="top" wrapText="1"/>
    </xf>
    <xf numFmtId="0" fontId="38" fillId="14" borderId="23" xfId="0" applyFont="1" applyFill="1" applyBorder="1" applyAlignment="1">
      <alignment vertical="top"/>
    </xf>
    <xf numFmtId="0" fontId="37" fillId="14" borderId="23" xfId="0" applyFont="1" applyFill="1" applyBorder="1" applyAlignment="1">
      <alignment vertical="top" wrapText="1"/>
    </xf>
    <xf numFmtId="0" fontId="37" fillId="14" borderId="68" xfId="0" applyFont="1" applyFill="1" applyBorder="1" applyAlignment="1">
      <alignment horizontal="center" vertical="top" wrapText="1"/>
    </xf>
    <xf numFmtId="0" fontId="37" fillId="14" borderId="69" xfId="0" applyFont="1" applyFill="1" applyBorder="1" applyAlignment="1">
      <alignment horizontal="center" vertical="top" wrapText="1"/>
    </xf>
    <xf numFmtId="172" fontId="37" fillId="14" borderId="68" xfId="0" applyNumberFormat="1" applyFont="1" applyFill="1" applyBorder="1" applyAlignment="1">
      <alignment horizontal="center" vertical="top" wrapText="1"/>
    </xf>
    <xf numFmtId="172" fontId="37" fillId="14" borderId="69" xfId="0" applyNumberFormat="1" applyFont="1" applyFill="1" applyBorder="1" applyAlignment="1">
      <alignment horizontal="center" vertical="top" wrapText="1"/>
    </xf>
    <xf numFmtId="0" fontId="38" fillId="14" borderId="50" xfId="0" applyFont="1" applyFill="1" applyBorder="1" applyAlignment="1">
      <alignment vertical="top"/>
    </xf>
    <xf numFmtId="0" fontId="37" fillId="14" borderId="50" xfId="0" applyFont="1" applyFill="1" applyBorder="1" applyAlignment="1">
      <alignment vertical="top" wrapText="1"/>
    </xf>
    <xf numFmtId="0" fontId="37" fillId="14" borderId="71" xfId="0" applyFont="1" applyFill="1" applyBorder="1" applyAlignment="1">
      <alignment horizontal="center" vertical="top" wrapText="1"/>
    </xf>
    <xf numFmtId="0" fontId="37" fillId="14" borderId="72" xfId="0" applyFont="1" applyFill="1" applyBorder="1" applyAlignment="1">
      <alignment horizontal="center" vertical="top" wrapText="1"/>
    </xf>
    <xf numFmtId="0" fontId="38" fillId="15" borderId="52" xfId="0" applyFont="1" applyFill="1" applyBorder="1" applyAlignment="1">
      <alignment vertical="top"/>
    </xf>
    <xf numFmtId="0" fontId="37" fillId="15" borderId="52" xfId="0" applyFont="1" applyFill="1" applyBorder="1" applyAlignment="1">
      <alignment vertical="top" wrapText="1"/>
    </xf>
    <xf numFmtId="0" fontId="37" fillId="15" borderId="65" xfId="0" applyFont="1" applyFill="1" applyBorder="1" applyAlignment="1">
      <alignment horizontal="center" vertical="top" wrapText="1"/>
    </xf>
    <xf numFmtId="0" fontId="37" fillId="15" borderId="66" xfId="0" applyFont="1" applyFill="1" applyBorder="1" applyAlignment="1">
      <alignment horizontal="center" vertical="top" wrapText="1"/>
    </xf>
    <xf numFmtId="0" fontId="38" fillId="15" borderId="23" xfId="0" applyFont="1" applyFill="1" applyBorder="1" applyAlignment="1">
      <alignment vertical="top"/>
    </xf>
    <xf numFmtId="0" fontId="37" fillId="15" borderId="23" xfId="0" applyFont="1" applyFill="1" applyBorder="1" applyAlignment="1">
      <alignment vertical="top" wrapText="1"/>
    </xf>
    <xf numFmtId="0" fontId="37" fillId="15" borderId="68" xfId="0" applyFont="1" applyFill="1" applyBorder="1" applyAlignment="1">
      <alignment horizontal="center" vertical="top" wrapText="1"/>
    </xf>
    <xf numFmtId="0" fontId="37" fillId="15" borderId="69" xfId="0" applyFont="1" applyFill="1" applyBorder="1" applyAlignment="1">
      <alignment horizontal="center" vertical="top" wrapText="1"/>
    </xf>
    <xf numFmtId="172" fontId="37" fillId="15" borderId="68" xfId="0" applyNumberFormat="1" applyFont="1" applyFill="1" applyBorder="1" applyAlignment="1">
      <alignment horizontal="center" vertical="top" wrapText="1"/>
    </xf>
    <xf numFmtId="172" fontId="37" fillId="15" borderId="69" xfId="0" applyNumberFormat="1" applyFont="1" applyFill="1" applyBorder="1" applyAlignment="1">
      <alignment horizontal="center" vertical="top" wrapText="1"/>
    </xf>
    <xf numFmtId="0" fontId="38" fillId="15" borderId="50" xfId="0" applyFont="1" applyFill="1" applyBorder="1" applyAlignment="1">
      <alignment vertical="top"/>
    </xf>
    <xf numFmtId="0" fontId="37" fillId="15" borderId="50" xfId="0" applyFont="1" applyFill="1" applyBorder="1" applyAlignment="1">
      <alignment vertical="top" wrapText="1"/>
    </xf>
    <xf numFmtId="0" fontId="37" fillId="15" borderId="71" xfId="0" applyFont="1" applyFill="1" applyBorder="1" applyAlignment="1">
      <alignment horizontal="center" vertical="top" wrapText="1"/>
    </xf>
    <xf numFmtId="0" fontId="37" fillId="15" borderId="72" xfId="0" applyFont="1" applyFill="1" applyBorder="1" applyAlignment="1">
      <alignment horizontal="center" vertical="top" wrapText="1"/>
    </xf>
    <xf numFmtId="172" fontId="37" fillId="15" borderId="72" xfId="0" applyNumberFormat="1" applyFont="1" applyFill="1" applyBorder="1" applyAlignment="1">
      <alignment horizontal="center" vertical="top" wrapText="1"/>
    </xf>
    <xf numFmtId="172" fontId="37" fillId="15" borderId="71" xfId="0" applyNumberFormat="1" applyFont="1" applyFill="1" applyBorder="1" applyAlignment="1">
      <alignment horizontal="center" vertical="top" wrapText="1"/>
    </xf>
    <xf numFmtId="0" fontId="38" fillId="16" borderId="74" xfId="0" applyFont="1" applyFill="1" applyBorder="1" applyAlignment="1">
      <alignment vertical="top"/>
    </xf>
    <xf numFmtId="0" fontId="37" fillId="16" borderId="48" xfId="0" applyFont="1" applyFill="1" applyBorder="1" applyAlignment="1">
      <alignment vertical="top" wrapText="1"/>
    </xf>
    <xf numFmtId="0" fontId="37" fillId="16" borderId="75" xfId="0" applyFont="1" applyFill="1" applyBorder="1" applyAlignment="1">
      <alignment horizontal="center" vertical="top" wrapText="1"/>
    </xf>
    <xf numFmtId="0" fontId="37" fillId="16" borderId="76" xfId="0" applyFont="1" applyFill="1" applyBorder="1" applyAlignment="1">
      <alignment horizontal="center" vertical="top" wrapText="1"/>
    </xf>
    <xf numFmtId="0" fontId="38" fillId="16" borderId="23" xfId="0" applyFont="1" applyFill="1" applyBorder="1" applyAlignment="1">
      <alignment vertical="top"/>
    </xf>
    <xf numFmtId="0" fontId="37" fillId="16" borderId="34" xfId="0" applyFont="1" applyFill="1" applyBorder="1" applyAlignment="1">
      <alignment vertical="top" wrapText="1"/>
    </xf>
    <xf numFmtId="0" fontId="37" fillId="16" borderId="68" xfId="0" applyFont="1" applyFill="1" applyBorder="1" applyAlignment="1">
      <alignment horizontal="center" vertical="top" wrapText="1"/>
    </xf>
    <xf numFmtId="0" fontId="37" fillId="16" borderId="69" xfId="0" applyFont="1" applyFill="1" applyBorder="1" applyAlignment="1">
      <alignment horizontal="center" vertical="top" wrapText="1"/>
    </xf>
    <xf numFmtId="172" fontId="37" fillId="16" borderId="68" xfId="0" applyNumberFormat="1" applyFont="1" applyFill="1" applyBorder="1" applyAlignment="1">
      <alignment horizontal="center" vertical="top" wrapText="1"/>
    </xf>
    <xf numFmtId="172" fontId="37" fillId="16" borderId="69" xfId="0" applyNumberFormat="1" applyFont="1" applyFill="1" applyBorder="1" applyAlignment="1">
      <alignment horizontal="center" vertical="top" wrapText="1"/>
    </xf>
    <xf numFmtId="4" fontId="37" fillId="14" borderId="23" xfId="0" applyNumberFormat="1" applyFont="1" applyFill="1" applyBorder="1"/>
    <xf numFmtId="4" fontId="37" fillId="14" borderId="23" xfId="0" applyNumberFormat="1" applyFont="1" applyFill="1" applyBorder="1" applyAlignment="1">
      <alignment horizontal="center"/>
    </xf>
    <xf numFmtId="3" fontId="37" fillId="14" borderId="23" xfId="0" applyNumberFormat="1" applyFont="1" applyFill="1" applyBorder="1" applyAlignment="1">
      <alignment horizontal="center"/>
    </xf>
    <xf numFmtId="1" fontId="37" fillId="14" borderId="23" xfId="0" applyNumberFormat="1" applyFont="1" applyFill="1" applyBorder="1" applyAlignment="1">
      <alignment horizontal="center"/>
    </xf>
    <xf numFmtId="49" fontId="37" fillId="14" borderId="23" xfId="0" applyNumberFormat="1" applyFont="1" applyFill="1" applyBorder="1" applyAlignment="1">
      <alignment horizontal="center"/>
    </xf>
    <xf numFmtId="172" fontId="37" fillId="14" borderId="23" xfId="0" applyNumberFormat="1" applyFont="1" applyFill="1" applyBorder="1" applyAlignment="1">
      <alignment horizontal="center"/>
    </xf>
    <xf numFmtId="4" fontId="37" fillId="14" borderId="14" xfId="0" applyNumberFormat="1" applyFont="1" applyFill="1" applyBorder="1"/>
    <xf numFmtId="4" fontId="37" fillId="14" borderId="14" xfId="0" applyNumberFormat="1" applyFont="1" applyFill="1" applyBorder="1" applyAlignment="1">
      <alignment horizontal="center"/>
    </xf>
    <xf numFmtId="3" fontId="37" fillId="14" borderId="14" xfId="0" applyNumberFormat="1" applyFont="1" applyFill="1" applyBorder="1" applyAlignment="1">
      <alignment horizontal="center"/>
    </xf>
    <xf numFmtId="1" fontId="37" fillId="14" borderId="14" xfId="0" applyNumberFormat="1" applyFont="1" applyFill="1" applyBorder="1" applyAlignment="1">
      <alignment horizontal="center"/>
    </xf>
    <xf numFmtId="49" fontId="37" fillId="14" borderId="14" xfId="0" applyNumberFormat="1" applyFont="1" applyFill="1" applyBorder="1" applyAlignment="1">
      <alignment horizontal="center"/>
    </xf>
    <xf numFmtId="172" fontId="37" fillId="14" borderId="14" xfId="0" applyNumberFormat="1" applyFont="1" applyFill="1" applyBorder="1" applyAlignment="1">
      <alignment horizontal="center"/>
    </xf>
    <xf numFmtId="4" fontId="37" fillId="15" borderId="52" xfId="0" applyNumberFormat="1" applyFont="1" applyFill="1" applyBorder="1"/>
    <xf numFmtId="4" fontId="37" fillId="15" borderId="52" xfId="0" applyNumberFormat="1" applyFont="1" applyFill="1" applyBorder="1" applyAlignment="1">
      <alignment horizontal="center"/>
    </xf>
    <xf numFmtId="3" fontId="37" fillId="15" borderId="52" xfId="0" applyNumberFormat="1" applyFont="1" applyFill="1" applyBorder="1" applyAlignment="1">
      <alignment horizontal="center"/>
    </xf>
    <xf numFmtId="1" fontId="37" fillId="15" borderId="52" xfId="0" applyNumberFormat="1" applyFont="1" applyFill="1" applyBorder="1" applyAlignment="1">
      <alignment horizontal="center"/>
    </xf>
    <xf numFmtId="49" fontId="37" fillId="15" borderId="52" xfId="0" applyNumberFormat="1" applyFont="1" applyFill="1" applyBorder="1" applyAlignment="1">
      <alignment horizontal="center"/>
    </xf>
    <xf numFmtId="172" fontId="37" fillId="15" borderId="52" xfId="0" applyNumberFormat="1" applyFont="1" applyFill="1" applyBorder="1" applyAlignment="1">
      <alignment horizontal="center"/>
    </xf>
    <xf numFmtId="4" fontId="37" fillId="15" borderId="50" xfId="0" applyNumberFormat="1" applyFont="1" applyFill="1" applyBorder="1"/>
    <xf numFmtId="4" fontId="37" fillId="15" borderId="50" xfId="0" applyNumberFormat="1" applyFont="1" applyFill="1" applyBorder="1" applyAlignment="1">
      <alignment horizontal="center"/>
    </xf>
    <xf numFmtId="3" fontId="37" fillId="15" borderId="50" xfId="0" applyNumberFormat="1" applyFont="1" applyFill="1" applyBorder="1" applyAlignment="1">
      <alignment horizontal="center"/>
    </xf>
    <xf numFmtId="1" fontId="37" fillId="15" borderId="50" xfId="0" applyNumberFormat="1" applyFont="1" applyFill="1" applyBorder="1" applyAlignment="1">
      <alignment horizontal="center"/>
    </xf>
    <xf numFmtId="49" fontId="37" fillId="15" borderId="50" xfId="0" applyNumberFormat="1" applyFont="1" applyFill="1" applyBorder="1" applyAlignment="1">
      <alignment horizontal="center"/>
    </xf>
    <xf numFmtId="172" fontId="37" fillId="15" borderId="50" xfId="0" applyNumberFormat="1" applyFont="1" applyFill="1" applyBorder="1" applyAlignment="1">
      <alignment horizontal="center"/>
    </xf>
    <xf numFmtId="4" fontId="37" fillId="16" borderId="74" xfId="0" applyNumberFormat="1" applyFont="1" applyFill="1" applyBorder="1"/>
    <xf numFmtId="4" fontId="37" fillId="16" borderId="74" xfId="0" applyNumberFormat="1" applyFont="1" applyFill="1" applyBorder="1" applyAlignment="1">
      <alignment horizontal="center"/>
    </xf>
    <xf numFmtId="3" fontId="37" fillId="16" borderId="74" xfId="0" applyNumberFormat="1" applyFont="1" applyFill="1" applyBorder="1" applyAlignment="1">
      <alignment horizontal="center"/>
    </xf>
    <xf numFmtId="1" fontId="37" fillId="16" borderId="74" xfId="0" applyNumberFormat="1" applyFont="1" applyFill="1" applyBorder="1" applyAlignment="1">
      <alignment horizontal="center"/>
    </xf>
    <xf numFmtId="49" fontId="37" fillId="16" borderId="74" xfId="0" applyNumberFormat="1" applyFont="1" applyFill="1" applyBorder="1" applyAlignment="1">
      <alignment horizontal="center"/>
    </xf>
    <xf numFmtId="172" fontId="37" fillId="16" borderId="74" xfId="0" applyNumberFormat="1" applyFont="1" applyFill="1" applyBorder="1" applyAlignment="1">
      <alignment horizontal="center"/>
    </xf>
    <xf numFmtId="4" fontId="37" fillId="16" borderId="23" xfId="0" applyNumberFormat="1" applyFont="1" applyFill="1" applyBorder="1"/>
    <xf numFmtId="4" fontId="37" fillId="16" borderId="23" xfId="0" applyNumberFormat="1" applyFont="1" applyFill="1" applyBorder="1" applyAlignment="1">
      <alignment horizontal="center"/>
    </xf>
    <xf numFmtId="3" fontId="37" fillId="16" borderId="23" xfId="0" applyNumberFormat="1" applyFont="1" applyFill="1" applyBorder="1" applyAlignment="1">
      <alignment horizontal="center"/>
    </xf>
    <xf numFmtId="1" fontId="37" fillId="16" borderId="23" xfId="0" applyNumberFormat="1" applyFont="1" applyFill="1" applyBorder="1" applyAlignment="1">
      <alignment horizontal="center"/>
    </xf>
    <xf numFmtId="49" fontId="37" fillId="16" borderId="23" xfId="0" applyNumberFormat="1" applyFont="1" applyFill="1" applyBorder="1" applyAlignment="1">
      <alignment horizontal="center"/>
    </xf>
    <xf numFmtId="172" fontId="37" fillId="16" borderId="23" xfId="0" applyNumberFormat="1" applyFont="1" applyFill="1" applyBorder="1" applyAlignment="1">
      <alignment horizontal="center"/>
    </xf>
    <xf numFmtId="4" fontId="28" fillId="0" borderId="0" xfId="0" applyNumberFormat="1" applyFont="1" applyBorder="1"/>
    <xf numFmtId="4" fontId="37" fillId="0" borderId="0" xfId="0" applyNumberFormat="1" applyFont="1" applyBorder="1"/>
    <xf numFmtId="4" fontId="37" fillId="0" borderId="34" xfId="0" applyNumberFormat="1" applyFont="1" applyBorder="1" applyAlignment="1">
      <alignment horizontal="left" vertical="top" wrapText="1"/>
    </xf>
    <xf numFmtId="4" fontId="37" fillId="0" borderId="33" xfId="0" applyNumberFormat="1" applyFont="1" applyBorder="1" applyAlignment="1">
      <alignment horizontal="center" vertical="top" wrapText="1"/>
    </xf>
    <xf numFmtId="4" fontId="37" fillId="0" borderId="44" xfId="0" applyNumberFormat="1" applyFont="1" applyBorder="1" applyAlignment="1">
      <alignment vertical="top" wrapText="1"/>
    </xf>
    <xf numFmtId="4" fontId="37" fillId="0" borderId="0" xfId="0" applyNumberFormat="1" applyFont="1" applyBorder="1" applyAlignment="1">
      <alignment vertical="top" wrapText="1"/>
    </xf>
    <xf numFmtId="4" fontId="37" fillId="0" borderId="0" xfId="0" applyNumberFormat="1" applyFont="1" applyBorder="1" applyAlignment="1">
      <alignment horizontal="left" vertical="top" wrapText="1"/>
    </xf>
    <xf numFmtId="4" fontId="37" fillId="0" borderId="0" xfId="0" applyNumberFormat="1" applyFont="1" applyBorder="1" applyAlignment="1">
      <alignment horizontal="center" vertical="top" wrapText="1"/>
    </xf>
    <xf numFmtId="4" fontId="37" fillId="0" borderId="34" xfId="0" applyNumberFormat="1" applyFont="1" applyBorder="1"/>
    <xf numFmtId="3" fontId="37" fillId="0" borderId="33" xfId="0" applyNumberFormat="1" applyFont="1" applyBorder="1"/>
    <xf numFmtId="3" fontId="37" fillId="0" borderId="44" xfId="0" applyNumberFormat="1" applyFont="1" applyBorder="1"/>
    <xf numFmtId="3" fontId="37" fillId="0" borderId="0" xfId="0" applyNumberFormat="1" applyFont="1" applyBorder="1"/>
    <xf numFmtId="4" fontId="37" fillId="0" borderId="73" xfId="0" applyNumberFormat="1" applyFont="1" applyBorder="1"/>
    <xf numFmtId="3" fontId="37" fillId="0" borderId="49" xfId="0" applyNumberFormat="1" applyFont="1" applyBorder="1"/>
    <xf numFmtId="4" fontId="37" fillId="0" borderId="48" xfId="0" applyNumberFormat="1" applyFont="1" applyBorder="1"/>
    <xf numFmtId="4" fontId="37" fillId="0" borderId="74" xfId="0" applyNumberFormat="1" applyFont="1" applyBorder="1"/>
    <xf numFmtId="4" fontId="37" fillId="0" borderId="53" xfId="0" applyNumberFormat="1" applyFont="1" applyFill="1" applyBorder="1"/>
    <xf numFmtId="4" fontId="37" fillId="0" borderId="44" xfId="0" applyNumberFormat="1" applyFont="1" applyBorder="1"/>
    <xf numFmtId="4" fontId="37" fillId="0" borderId="0" xfId="0" applyNumberFormat="1" applyFont="1" applyFill="1" applyBorder="1"/>
    <xf numFmtId="4" fontId="37" fillId="0" borderId="49" xfId="0" applyNumberFormat="1" applyFont="1" applyFill="1" applyBorder="1"/>
    <xf numFmtId="4" fontId="37" fillId="0" borderId="67" xfId="0" applyNumberFormat="1" applyFont="1" applyBorder="1"/>
    <xf numFmtId="3" fontId="37" fillId="0" borderId="52" xfId="0" applyNumberFormat="1" applyFont="1" applyFill="1" applyBorder="1"/>
    <xf numFmtId="3" fontId="37" fillId="0" borderId="51" xfId="0" applyNumberFormat="1" applyFont="1" applyFill="1" applyBorder="1"/>
    <xf numFmtId="3" fontId="37" fillId="0" borderId="44" xfId="0" applyNumberFormat="1" applyFont="1" applyFill="1" applyBorder="1"/>
    <xf numFmtId="3" fontId="37" fillId="0" borderId="0" xfId="0" applyNumberFormat="1" applyFont="1" applyFill="1" applyBorder="1"/>
    <xf numFmtId="4" fontId="37" fillId="0" borderId="47" xfId="0" applyNumberFormat="1" applyFont="1" applyBorder="1"/>
    <xf numFmtId="3" fontId="37" fillId="0" borderId="46" xfId="0" applyNumberFormat="1" applyFont="1" applyFill="1" applyBorder="1"/>
    <xf numFmtId="4" fontId="28" fillId="0" borderId="63" xfId="0" applyNumberFormat="1" applyFont="1" applyBorder="1"/>
    <xf numFmtId="3" fontId="28" fillId="0" borderId="55" xfId="0" applyNumberFormat="1" applyFont="1" applyFill="1" applyBorder="1"/>
    <xf numFmtId="3" fontId="28" fillId="0" borderId="54" xfId="0" applyNumberFormat="1" applyFont="1" applyFill="1" applyBorder="1"/>
    <xf numFmtId="3" fontId="28" fillId="0" borderId="44" xfId="0" applyNumberFormat="1" applyFont="1" applyFill="1" applyBorder="1"/>
    <xf numFmtId="3" fontId="28" fillId="0" borderId="0" xfId="0" applyNumberFormat="1" applyFont="1" applyFill="1" applyBorder="1"/>
    <xf numFmtId="0" fontId="28" fillId="0" borderId="68" xfId="0" applyFont="1" applyBorder="1" applyAlignment="1">
      <alignment horizontal="center" vertical="top" wrapText="1"/>
    </xf>
    <xf numFmtId="0" fontId="28" fillId="0" borderId="69" xfId="0" applyFont="1" applyBorder="1" applyAlignment="1">
      <alignment horizontal="center" vertical="top" wrapText="1"/>
    </xf>
    <xf numFmtId="0" fontId="38" fillId="0" borderId="23" xfId="0" applyFont="1" applyBorder="1" applyAlignment="1">
      <alignment vertical="top"/>
    </xf>
    <xf numFmtId="0" fontId="37" fillId="0" borderId="68" xfId="0" applyFont="1" applyBorder="1" applyAlignment="1">
      <alignment horizontal="center" vertical="top" wrapText="1"/>
    </xf>
    <xf numFmtId="0" fontId="37" fillId="0" borderId="69" xfId="0" applyFont="1" applyBorder="1" applyAlignment="1">
      <alignment horizontal="center" vertical="top" wrapText="1"/>
    </xf>
    <xf numFmtId="2" fontId="37" fillId="0" borderId="68" xfId="0" applyNumberFormat="1" applyFont="1" applyBorder="1" applyAlignment="1">
      <alignment horizontal="center" vertical="top" wrapText="1"/>
    </xf>
    <xf numFmtId="2" fontId="37" fillId="0" borderId="69" xfId="0" applyNumberFormat="1" applyFont="1" applyBorder="1" applyAlignment="1">
      <alignment horizontal="center" vertical="top" wrapText="1"/>
    </xf>
    <xf numFmtId="2" fontId="37" fillId="0" borderId="34" xfId="0" applyNumberFormat="1" applyFont="1" applyBorder="1" applyAlignment="1">
      <alignment horizontal="center" vertical="top" wrapText="1"/>
    </xf>
    <xf numFmtId="172" fontId="37" fillId="0" borderId="69" xfId="0" applyNumberFormat="1" applyFont="1" applyBorder="1" applyAlignment="1">
      <alignment horizontal="center" vertical="top" wrapText="1"/>
    </xf>
    <xf numFmtId="172" fontId="37" fillId="0" borderId="68" xfId="0" applyNumberFormat="1" applyFont="1" applyBorder="1" applyAlignment="1">
      <alignment horizontal="center" vertical="top" wrapText="1"/>
    </xf>
    <xf numFmtId="4" fontId="37" fillId="0" borderId="23" xfId="0" applyNumberFormat="1" applyFont="1" applyBorder="1"/>
    <xf numFmtId="4" fontId="37" fillId="0" borderId="23" xfId="0" applyNumberFormat="1" applyFont="1" applyBorder="1" applyAlignment="1">
      <alignment horizontal="center"/>
    </xf>
    <xf numFmtId="3" fontId="37" fillId="0" borderId="23" xfId="0" applyNumberFormat="1" applyFont="1" applyBorder="1" applyAlignment="1">
      <alignment horizontal="center"/>
    </xf>
    <xf numFmtId="1" fontId="37" fillId="0" borderId="23" xfId="0" applyNumberFormat="1" applyFont="1" applyBorder="1" applyAlignment="1">
      <alignment horizontal="center"/>
    </xf>
    <xf numFmtId="49" fontId="37" fillId="0" borderId="23" xfId="0" applyNumberFormat="1" applyFont="1" applyBorder="1" applyAlignment="1">
      <alignment horizontal="center"/>
    </xf>
    <xf numFmtId="49" fontId="37" fillId="0" borderId="33" xfId="0" applyNumberFormat="1" applyFont="1" applyBorder="1" applyAlignment="1">
      <alignment horizontal="center"/>
    </xf>
    <xf numFmtId="4" fontId="37" fillId="0" borderId="23" xfId="0" applyNumberFormat="1" applyFont="1" applyBorder="1" applyAlignment="1"/>
    <xf numFmtId="1" fontId="1" fillId="17" borderId="0" xfId="0" applyNumberFormat="1" applyFont="1" applyFill="1" applyAlignment="1">
      <alignment horizontal="center"/>
    </xf>
    <xf numFmtId="0" fontId="1" fillId="17" borderId="0" xfId="0" applyFont="1" applyFill="1" applyAlignment="1">
      <alignment horizontal="center"/>
    </xf>
    <xf numFmtId="2" fontId="1" fillId="17" borderId="0" xfId="0" applyNumberFormat="1" applyFont="1" applyFill="1" applyAlignment="1">
      <alignment horizontal="center"/>
    </xf>
    <xf numFmtId="0" fontId="40" fillId="0" borderId="0" xfId="0" applyFont="1" applyAlignment="1"/>
    <xf numFmtId="0" fontId="41" fillId="11" borderId="0" xfId="0" applyFont="1" applyFill="1" applyAlignment="1"/>
    <xf numFmtId="0" fontId="41" fillId="0" borderId="0" xfId="0" applyFont="1" applyAlignment="1"/>
    <xf numFmtId="0" fontId="1" fillId="0" borderId="42" xfId="21" applyFont="1" applyBorder="1" applyAlignment="1">
      <alignment horizontal="center"/>
    </xf>
    <xf numFmtId="2" fontId="1" fillId="0" borderId="42" xfId="21" applyNumberFormat="1" applyFont="1" applyBorder="1" applyAlignment="1">
      <alignment horizontal="center"/>
    </xf>
    <xf numFmtId="0" fontId="42" fillId="8" borderId="77" xfId="0" applyNumberFormat="1" applyFont="1" applyFill="1" applyBorder="1" applyAlignment="1" applyProtection="1">
      <protection locked="0"/>
    </xf>
    <xf numFmtId="171" fontId="43" fillId="8" borderId="0" xfId="0" applyNumberFormat="1" applyFont="1" applyFill="1" applyBorder="1" applyAlignment="1" applyProtection="1">
      <protection locked="0"/>
    </xf>
    <xf numFmtId="173" fontId="1" fillId="17" borderId="0" xfId="0" applyNumberFormat="1" applyFont="1" applyFill="1" applyAlignment="1">
      <alignment horizontal="center"/>
    </xf>
    <xf numFmtId="9" fontId="0" fillId="0" borderId="4" xfId="32" applyFont="1" applyBorder="1" applyProtection="1"/>
    <xf numFmtId="167" fontId="37" fillId="14" borderId="68" xfId="0" applyNumberFormat="1" applyFont="1" applyFill="1" applyBorder="1" applyAlignment="1">
      <alignment horizontal="center" vertical="top" wrapText="1"/>
    </xf>
    <xf numFmtId="167" fontId="37" fillId="14" borderId="69" xfId="0" applyNumberFormat="1" applyFont="1" applyFill="1" applyBorder="1" applyAlignment="1">
      <alignment horizontal="center" vertical="top" wrapText="1"/>
    </xf>
    <xf numFmtId="167" fontId="37" fillId="14" borderId="34" xfId="0" applyNumberFormat="1" applyFont="1" applyFill="1" applyBorder="1" applyAlignment="1">
      <alignment horizontal="center" vertical="top" wrapText="1"/>
    </xf>
    <xf numFmtId="167" fontId="37" fillId="14" borderId="71" xfId="0" applyNumberFormat="1" applyFont="1" applyFill="1" applyBorder="1" applyAlignment="1">
      <alignment horizontal="center" vertical="top" wrapText="1"/>
    </xf>
    <xf numFmtId="167" fontId="37" fillId="14" borderId="72" xfId="0" applyNumberFormat="1" applyFont="1" applyFill="1" applyBorder="1" applyAlignment="1">
      <alignment horizontal="center" vertical="top" wrapText="1"/>
    </xf>
    <xf numFmtId="167" fontId="37" fillId="14" borderId="73" xfId="0" applyNumberFormat="1" applyFont="1" applyFill="1" applyBorder="1" applyAlignment="1">
      <alignment horizontal="center" vertical="top" wrapText="1"/>
    </xf>
    <xf numFmtId="167" fontId="37" fillId="15" borderId="65" xfId="0" applyNumberFormat="1" applyFont="1" applyFill="1" applyBorder="1" applyAlignment="1">
      <alignment horizontal="center" vertical="top" wrapText="1"/>
    </xf>
    <xf numFmtId="167" fontId="37" fillId="15" borderId="66" xfId="0" applyNumberFormat="1" applyFont="1" applyFill="1" applyBorder="1" applyAlignment="1">
      <alignment horizontal="center" vertical="top" wrapText="1"/>
    </xf>
    <xf numFmtId="167" fontId="37" fillId="15" borderId="67" xfId="0" applyNumberFormat="1" applyFont="1" applyFill="1" applyBorder="1" applyAlignment="1">
      <alignment horizontal="center" vertical="top" wrapText="1"/>
    </xf>
    <xf numFmtId="167" fontId="37" fillId="15" borderId="68" xfId="0" applyNumberFormat="1" applyFont="1" applyFill="1" applyBorder="1" applyAlignment="1">
      <alignment horizontal="center" vertical="top" wrapText="1"/>
    </xf>
    <xf numFmtId="167" fontId="37" fillId="15" borderId="69" xfId="0" applyNumberFormat="1" applyFont="1" applyFill="1" applyBorder="1" applyAlignment="1">
      <alignment horizontal="center" vertical="top" wrapText="1"/>
    </xf>
    <xf numFmtId="167" fontId="37" fillId="15" borderId="34" xfId="0" applyNumberFormat="1" applyFont="1" applyFill="1" applyBorder="1" applyAlignment="1">
      <alignment horizontal="center" vertical="top" wrapText="1"/>
    </xf>
    <xf numFmtId="167" fontId="37" fillId="15" borderId="71" xfId="0" applyNumberFormat="1" applyFont="1" applyFill="1" applyBorder="1" applyAlignment="1">
      <alignment horizontal="center" vertical="top" wrapText="1"/>
    </xf>
    <xf numFmtId="167" fontId="37" fillId="15" borderId="72" xfId="0" applyNumberFormat="1" applyFont="1" applyFill="1" applyBorder="1" applyAlignment="1">
      <alignment horizontal="center" vertical="top" wrapText="1"/>
    </xf>
    <xf numFmtId="167" fontId="37" fillId="15" borderId="73" xfId="0" applyNumberFormat="1" applyFont="1" applyFill="1" applyBorder="1" applyAlignment="1">
      <alignment horizontal="center" vertical="top" wrapText="1"/>
    </xf>
    <xf numFmtId="167" fontId="37" fillId="16" borderId="75" xfId="0" applyNumberFormat="1" applyFont="1" applyFill="1" applyBorder="1" applyAlignment="1">
      <alignment horizontal="center" vertical="top" wrapText="1"/>
    </xf>
    <xf numFmtId="167" fontId="37" fillId="16" borderId="76" xfId="0" applyNumberFormat="1" applyFont="1" applyFill="1" applyBorder="1" applyAlignment="1">
      <alignment horizontal="center" vertical="top" wrapText="1"/>
    </xf>
    <xf numFmtId="167" fontId="37" fillId="16" borderId="48" xfId="0" applyNumberFormat="1" applyFont="1" applyFill="1" applyBorder="1" applyAlignment="1">
      <alignment horizontal="center" vertical="top" wrapText="1"/>
    </xf>
    <xf numFmtId="167" fontId="37" fillId="16" borderId="68" xfId="0" applyNumberFormat="1" applyFont="1" applyFill="1" applyBorder="1" applyAlignment="1">
      <alignment horizontal="center" vertical="top" wrapText="1"/>
    </xf>
    <xf numFmtId="167" fontId="37" fillId="16" borderId="69" xfId="0" applyNumberFormat="1" applyFont="1" applyFill="1" applyBorder="1" applyAlignment="1">
      <alignment horizontal="center" vertical="top" wrapText="1"/>
    </xf>
    <xf numFmtId="167" fontId="37" fillId="16" borderId="34" xfId="0" applyNumberFormat="1" applyFont="1" applyFill="1" applyBorder="1" applyAlignment="1">
      <alignment horizontal="center" vertical="top" wrapText="1"/>
    </xf>
    <xf numFmtId="10" fontId="0" fillId="0" borderId="74" xfId="0" applyNumberFormat="1" applyBorder="1" applyProtection="1"/>
    <xf numFmtId="10" fontId="0" fillId="0" borderId="79" xfId="0" applyNumberFormat="1" applyBorder="1" applyProtection="1"/>
    <xf numFmtId="0" fontId="1" fillId="0" borderId="0" xfId="0" applyNumberFormat="1" applyFont="1" applyFill="1" applyBorder="1" applyAlignment="1" applyProtection="1"/>
    <xf numFmtId="164" fontId="7" fillId="8" borderId="80" xfId="0" applyNumberFormat="1" applyFont="1" applyFill="1" applyBorder="1" applyAlignment="1" applyProtection="1">
      <protection locked="0"/>
    </xf>
    <xf numFmtId="1" fontId="0" fillId="0" borderId="0" xfId="0" applyNumberFormat="1"/>
    <xf numFmtId="164" fontId="7" fillId="8" borderId="81" xfId="0" applyNumberFormat="1" applyFont="1" applyFill="1" applyBorder="1" applyAlignment="1" applyProtection="1">
      <protection locked="0"/>
    </xf>
    <xf numFmtId="9" fontId="1" fillId="0" borderId="78" xfId="0" applyNumberFormat="1" applyFont="1" applyFill="1" applyBorder="1" applyAlignment="1" applyProtection="1"/>
    <xf numFmtId="0" fontId="22" fillId="0" borderId="0" xfId="0" applyNumberFormat="1" applyFont="1" applyFill="1" applyBorder="1" applyAlignment="1" applyProtection="1"/>
    <xf numFmtId="164" fontId="1" fillId="0" borderId="81" xfId="0" applyNumberFormat="1" applyFont="1" applyFill="1" applyBorder="1" applyAlignment="1" applyProtection="1"/>
    <xf numFmtId="164" fontId="1" fillId="0" borderId="0" xfId="0" applyNumberFormat="1" applyFont="1" applyFill="1" applyBorder="1" applyAlignment="1" applyProtection="1"/>
    <xf numFmtId="0" fontId="1" fillId="0" borderId="0" xfId="0" applyNumberFormat="1" applyFont="1" applyFill="1" applyBorder="1" applyAlignment="1" applyProtection="1">
      <alignment horizontal="center"/>
    </xf>
    <xf numFmtId="164" fontId="1" fillId="0" borderId="80" xfId="0" applyNumberFormat="1" applyFont="1" applyFill="1" applyBorder="1" applyAlignment="1" applyProtection="1"/>
    <xf numFmtId="164" fontId="7" fillId="8" borderId="78" xfId="0" applyNumberFormat="1" applyFont="1" applyFill="1" applyBorder="1" applyAlignment="1" applyProtection="1">
      <protection locked="0"/>
    </xf>
    <xf numFmtId="1" fontId="1" fillId="0" borderId="0" xfId="0" applyNumberFormat="1" applyFont="1"/>
    <xf numFmtId="0" fontId="1" fillId="0" borderId="0" xfId="0" applyNumberFormat="1" applyFont="1" applyFill="1" applyBorder="1" applyAlignment="1" applyProtection="1">
      <alignment horizontal="right"/>
    </xf>
    <xf numFmtId="164" fontId="44" fillId="8" borderId="0" xfId="0" applyNumberFormat="1" applyFont="1" applyFill="1" applyBorder="1" applyAlignment="1" applyProtection="1">
      <protection locked="0"/>
    </xf>
    <xf numFmtId="164" fontId="45" fillId="8" borderId="0" xfId="0" applyNumberFormat="1" applyFont="1" applyFill="1" applyBorder="1" applyAlignment="1" applyProtection="1">
      <protection locked="0"/>
    </xf>
    <xf numFmtId="164" fontId="46" fillId="8" borderId="0" xfId="0" applyNumberFormat="1" applyFont="1" applyFill="1" applyBorder="1" applyAlignment="1" applyProtection="1">
      <protection locked="0"/>
    </xf>
    <xf numFmtId="9" fontId="44" fillId="8" borderId="0" xfId="0" applyNumberFormat="1" applyFont="1" applyFill="1" applyBorder="1" applyAlignment="1" applyProtection="1">
      <alignment horizontal="center"/>
      <protection locked="0"/>
    </xf>
    <xf numFmtId="0" fontId="0" fillId="0" borderId="82" xfId="0" applyNumberFormat="1" applyFont="1" applyFill="1" applyBorder="1" applyAlignment="1" applyProtection="1"/>
    <xf numFmtId="168" fontId="44" fillId="8" borderId="0" xfId="0" applyNumberFormat="1" applyFont="1" applyFill="1" applyBorder="1" applyAlignment="1" applyProtection="1">
      <protection locked="0"/>
    </xf>
    <xf numFmtId="10" fontId="44" fillId="8" borderId="83" xfId="0" applyNumberFormat="1" applyFont="1" applyFill="1" applyBorder="1" applyAlignment="1" applyProtection="1">
      <protection locked="0"/>
    </xf>
    <xf numFmtId="0" fontId="0" fillId="8" borderId="0" xfId="0" applyNumberFormat="1" applyFont="1" applyFill="1" applyBorder="1" applyAlignment="1" applyProtection="1">
      <protection locked="0"/>
    </xf>
    <xf numFmtId="0" fontId="0" fillId="0" borderId="84" xfId="0" applyNumberFormat="1" applyFont="1" applyFill="1" applyBorder="1" applyAlignment="1" applyProtection="1"/>
    <xf numFmtId="168" fontId="47" fillId="8" borderId="0" xfId="0" applyNumberFormat="1" applyFont="1" applyFill="1" applyBorder="1" applyAlignment="1" applyProtection="1">
      <protection locked="0"/>
    </xf>
    <xf numFmtId="168" fontId="46" fillId="8" borderId="0" xfId="0" applyNumberFormat="1" applyFont="1" applyFill="1" applyBorder="1" applyAlignment="1" applyProtection="1">
      <protection locked="0"/>
    </xf>
    <xf numFmtId="168" fontId="0" fillId="0" borderId="0" xfId="0" applyNumberFormat="1" applyFont="1" applyFill="1" applyBorder="1" applyAlignment="1" applyProtection="1">
      <alignment horizontal="center"/>
    </xf>
    <xf numFmtId="0" fontId="44" fillId="0" borderId="84" xfId="0" applyNumberFormat="1" applyFont="1" applyFill="1" applyBorder="1" applyAlignment="1" applyProtection="1"/>
    <xf numFmtId="166" fontId="44" fillId="8" borderId="0" xfId="0" applyNumberFormat="1" applyFont="1" applyFill="1" applyBorder="1" applyAlignment="1" applyProtection="1">
      <protection locked="0"/>
    </xf>
    <xf numFmtId="166" fontId="44" fillId="8" borderId="85" xfId="0" applyNumberFormat="1" applyFont="1" applyFill="1" applyBorder="1" applyAlignment="1" applyProtection="1">
      <protection locked="0"/>
    </xf>
    <xf numFmtId="166" fontId="44" fillId="8" borderId="86" xfId="0" applyNumberFormat="1" applyFont="1" applyFill="1" applyBorder="1" applyAlignment="1" applyProtection="1">
      <protection locked="0"/>
    </xf>
    <xf numFmtId="9" fontId="44" fillId="8" borderId="0" xfId="0" applyNumberFormat="1" applyFont="1" applyFill="1" applyBorder="1" applyAlignment="1" applyProtection="1">
      <protection locked="0"/>
    </xf>
    <xf numFmtId="9" fontId="44" fillId="8" borderId="86" xfId="0" applyNumberFormat="1" applyFont="1" applyFill="1" applyBorder="1" applyAlignment="1" applyProtection="1">
      <protection locked="0"/>
    </xf>
    <xf numFmtId="9" fontId="44" fillId="8" borderId="87" xfId="0" applyNumberFormat="1" applyFont="1" applyFill="1" applyBorder="1" applyAlignment="1" applyProtection="1">
      <protection locked="0"/>
    </xf>
    <xf numFmtId="9" fontId="44" fillId="8" borderId="88" xfId="0" applyNumberFormat="1" applyFont="1" applyFill="1" applyBorder="1" applyAlignment="1" applyProtection="1">
      <protection locked="0"/>
    </xf>
    <xf numFmtId="166" fontId="44" fillId="8" borderId="89" xfId="0" applyNumberFormat="1" applyFont="1" applyFill="1" applyBorder="1" applyAlignment="1" applyProtection="1">
      <protection locked="0"/>
    </xf>
    <xf numFmtId="164" fontId="44" fillId="8" borderId="84" xfId="0" applyNumberFormat="1" applyFont="1" applyFill="1" applyBorder="1" applyAlignment="1" applyProtection="1">
      <protection locked="0"/>
    </xf>
    <xf numFmtId="0" fontId="37" fillId="14" borderId="33" xfId="0" applyFont="1" applyFill="1" applyBorder="1" applyAlignment="1">
      <alignment vertical="top" wrapText="1"/>
    </xf>
    <xf numFmtId="0" fontId="37" fillId="14" borderId="24" xfId="0" applyFont="1" applyFill="1" applyBorder="1" applyAlignment="1">
      <alignment vertical="top" wrapText="1"/>
    </xf>
    <xf numFmtId="0" fontId="28" fillId="0" borderId="14" xfId="0" applyFont="1" applyBorder="1" applyAlignment="1">
      <alignment horizontal="center" vertical="top" wrapText="1"/>
    </xf>
    <xf numFmtId="0" fontId="28" fillId="0" borderId="46" xfId="0" applyFont="1" applyBorder="1" applyAlignment="1">
      <alignment horizontal="center" vertical="top" wrapText="1"/>
    </xf>
    <xf numFmtId="0" fontId="28" fillId="0" borderId="30" xfId="0" applyFont="1" applyBorder="1" applyAlignment="1">
      <alignment horizontal="center" vertical="top" wrapText="1"/>
    </xf>
    <xf numFmtId="0" fontId="28" fillId="0" borderId="17" xfId="0" applyFont="1" applyBorder="1" applyAlignment="1">
      <alignment horizontal="center" vertical="top" wrapText="1"/>
    </xf>
    <xf numFmtId="0" fontId="28" fillId="0" borderId="56" xfId="0" applyFont="1" applyBorder="1" applyAlignment="1">
      <alignment horizontal="center" vertical="top" wrapText="1"/>
    </xf>
    <xf numFmtId="0" fontId="28" fillId="0" borderId="57" xfId="0" applyFont="1" applyBorder="1" applyAlignment="1">
      <alignment horizontal="center" vertical="top" wrapText="1"/>
    </xf>
    <xf numFmtId="0" fontId="28" fillId="0" borderId="19" xfId="0" applyFont="1" applyBorder="1" applyAlignment="1">
      <alignment horizontal="center" vertical="top" wrapText="1"/>
    </xf>
    <xf numFmtId="0" fontId="28" fillId="0" borderId="47" xfId="0" applyFont="1" applyBorder="1" applyAlignment="1">
      <alignment horizontal="center" vertical="top" wrapText="1"/>
    </xf>
    <xf numFmtId="0" fontId="37" fillId="0" borderId="54" xfId="0" applyFont="1" applyBorder="1" applyAlignment="1">
      <alignment vertical="top" wrapText="1"/>
    </xf>
    <xf numFmtId="0" fontId="37" fillId="0" borderId="60" xfId="0" applyFont="1" applyBorder="1" applyAlignment="1">
      <alignment vertical="top" wrapText="1"/>
    </xf>
    <xf numFmtId="0" fontId="37" fillId="14" borderId="51" xfId="0" applyFont="1" applyFill="1" applyBorder="1" applyAlignment="1">
      <alignment vertical="top" wrapText="1"/>
    </xf>
    <xf numFmtId="0" fontId="37" fillId="14" borderId="64" xfId="0" applyFont="1" applyFill="1" applyBorder="1" applyAlignment="1">
      <alignment vertical="top" wrapText="1"/>
    </xf>
    <xf numFmtId="4" fontId="37" fillId="14" borderId="19" xfId="0" applyNumberFormat="1" applyFont="1" applyFill="1" applyBorder="1"/>
    <xf numFmtId="4" fontId="37" fillId="14" borderId="14" xfId="0" applyNumberFormat="1" applyFont="1" applyFill="1" applyBorder="1"/>
    <xf numFmtId="0" fontId="37" fillId="14" borderId="49" xfId="0" applyFont="1" applyFill="1" applyBorder="1" applyAlignment="1">
      <alignment vertical="top" wrapText="1"/>
    </xf>
    <xf numFmtId="0" fontId="37" fillId="14" borderId="70" xfId="0" applyFont="1" applyFill="1" applyBorder="1" applyAlignment="1">
      <alignment vertical="top" wrapText="1"/>
    </xf>
    <xf numFmtId="0" fontId="37" fillId="15" borderId="51" xfId="0" applyFont="1" applyFill="1" applyBorder="1" applyAlignment="1">
      <alignment vertical="top" wrapText="1"/>
    </xf>
    <xf numFmtId="0" fontId="37" fillId="15" borderId="64" xfId="0" applyFont="1" applyFill="1" applyBorder="1" applyAlignment="1">
      <alignment vertical="top" wrapText="1"/>
    </xf>
    <xf numFmtId="0" fontId="37" fillId="15" borderId="33" xfId="0" applyFont="1" applyFill="1" applyBorder="1" applyAlignment="1">
      <alignment vertical="top" wrapText="1"/>
    </xf>
    <xf numFmtId="0" fontId="37" fillId="15" borderId="24" xfId="0" applyFont="1" applyFill="1" applyBorder="1" applyAlignment="1">
      <alignment vertical="top" wrapText="1"/>
    </xf>
    <xf numFmtId="0" fontId="37" fillId="15" borderId="49" xfId="0" applyFont="1" applyFill="1" applyBorder="1" applyAlignment="1">
      <alignment vertical="top" wrapText="1"/>
    </xf>
    <xf numFmtId="0" fontId="37" fillId="15" borderId="70" xfId="0" applyFont="1" applyFill="1" applyBorder="1" applyAlignment="1">
      <alignment vertical="top" wrapText="1"/>
    </xf>
    <xf numFmtId="0" fontId="37" fillId="16" borderId="51" xfId="0" applyFont="1" applyFill="1" applyBorder="1" applyAlignment="1">
      <alignment vertical="top" wrapText="1"/>
    </xf>
    <xf numFmtId="0" fontId="37" fillId="16" borderId="64" xfId="0" applyFont="1" applyFill="1" applyBorder="1" applyAlignment="1">
      <alignment vertical="top" wrapText="1"/>
    </xf>
    <xf numFmtId="0" fontId="37" fillId="16" borderId="33" xfId="0" applyFont="1" applyFill="1" applyBorder="1" applyAlignment="1">
      <alignment vertical="top" wrapText="1"/>
    </xf>
    <xf numFmtId="0" fontId="37" fillId="16" borderId="24" xfId="0" applyFont="1" applyFill="1" applyBorder="1" applyAlignment="1">
      <alignment vertical="top" wrapText="1"/>
    </xf>
    <xf numFmtId="4" fontId="37" fillId="0" borderId="34" xfId="0" applyNumberFormat="1" applyFont="1" applyBorder="1" applyAlignment="1">
      <alignment horizontal="center" vertical="top" wrapText="1"/>
    </xf>
    <xf numFmtId="4" fontId="37" fillId="0" borderId="23" xfId="0" applyNumberFormat="1" applyFont="1" applyBorder="1" applyAlignment="1">
      <alignment horizontal="center" vertical="top" wrapText="1"/>
    </xf>
    <xf numFmtId="4" fontId="37" fillId="14" borderId="34" xfId="0" applyNumberFormat="1" applyFont="1" applyFill="1" applyBorder="1"/>
    <xf numFmtId="4" fontId="37" fillId="14" borderId="23" xfId="0" applyNumberFormat="1" applyFont="1" applyFill="1" applyBorder="1"/>
    <xf numFmtId="0" fontId="28" fillId="0" borderId="58" xfId="0" applyFont="1" applyBorder="1" applyAlignment="1">
      <alignment horizontal="center" vertical="top" wrapText="1"/>
    </xf>
    <xf numFmtId="0" fontId="28" fillId="0" borderId="75" xfId="0" applyFont="1" applyBorder="1" applyAlignment="1">
      <alignment horizontal="center" vertical="top" wrapText="1"/>
    </xf>
    <xf numFmtId="4" fontId="37" fillId="15" borderId="67" xfId="0" applyNumberFormat="1" applyFont="1" applyFill="1" applyBorder="1"/>
    <xf numFmtId="4" fontId="37" fillId="15" borderId="52" xfId="0" applyNumberFormat="1" applyFont="1" applyFill="1" applyBorder="1"/>
    <xf numFmtId="4" fontId="37" fillId="15" borderId="73" xfId="0" applyNumberFormat="1" applyFont="1" applyFill="1" applyBorder="1"/>
    <xf numFmtId="4" fontId="37" fillId="15" borderId="50" xfId="0" applyNumberFormat="1" applyFont="1" applyFill="1" applyBorder="1"/>
    <xf numFmtId="4" fontId="37" fillId="16" borderId="48" xfId="0" applyNumberFormat="1" applyFont="1" applyFill="1" applyBorder="1"/>
    <xf numFmtId="4" fontId="37" fillId="16" borderId="74" xfId="0" applyNumberFormat="1" applyFont="1" applyFill="1" applyBorder="1"/>
    <xf numFmtId="4" fontId="37" fillId="16" borderId="34" xfId="0" applyNumberFormat="1" applyFont="1" applyFill="1" applyBorder="1"/>
    <xf numFmtId="4" fontId="37" fillId="16" borderId="23" xfId="0" applyNumberFormat="1" applyFont="1" applyFill="1" applyBorder="1"/>
    <xf numFmtId="4" fontId="37" fillId="0" borderId="33" xfId="0" applyNumberFormat="1" applyFont="1" applyBorder="1"/>
    <xf numFmtId="4" fontId="37" fillId="0" borderId="24" xfId="0" applyNumberFormat="1" applyFont="1" applyBorder="1"/>
    <xf numFmtId="4" fontId="37" fillId="0" borderId="34" xfId="0" applyNumberFormat="1" applyFont="1" applyBorder="1"/>
    <xf numFmtId="4" fontId="37" fillId="0" borderId="23" xfId="0" applyNumberFormat="1" applyFont="1" applyBorder="1"/>
    <xf numFmtId="4" fontId="37" fillId="0" borderId="33" xfId="0" applyNumberFormat="1" applyFont="1" applyBorder="1" applyAlignment="1">
      <alignment horizontal="center" vertical="top" wrapText="1"/>
    </xf>
    <xf numFmtId="4" fontId="37" fillId="0" borderId="24" xfId="0" applyNumberFormat="1" applyFont="1" applyBorder="1" applyAlignment="1">
      <alignment horizontal="center" vertical="top" wrapText="1"/>
    </xf>
    <xf numFmtId="4" fontId="37" fillId="0" borderId="33" xfId="0" applyNumberFormat="1" applyFont="1" applyBorder="1" applyAlignment="1"/>
    <xf numFmtId="4" fontId="37" fillId="0" borderId="24" xfId="0" applyNumberFormat="1" applyFont="1" applyBorder="1" applyAlignment="1"/>
    <xf numFmtId="4" fontId="37" fillId="0" borderId="34" xfId="0" applyNumberFormat="1" applyFont="1" applyBorder="1" applyAlignment="1"/>
  </cellXfs>
  <cellStyles count="33">
    <cellStyle name="Arial  - Style1" xfId="1"/>
    <cellStyle name="Arial  - Style2" xfId="2"/>
    <cellStyle name="Arial  - Style4" xfId="3"/>
    <cellStyle name="Arial  - Style4_HUSCOSTSBC" xfId="4"/>
    <cellStyle name="Bold - Style2" xfId="5"/>
    <cellStyle name="Bold - Style7" xfId="6"/>
    <cellStyle name="Bold A - Style3" xfId="7"/>
    <cellStyle name="Bold U - Style8" xfId="8"/>
    <cellStyle name="Border - Style7" xfId="9"/>
    <cellStyle name="Border - Style8" xfId="10"/>
    <cellStyle name="BordR - Style7" xfId="11"/>
    <cellStyle name="BordT - Style8" xfId="12"/>
    <cellStyle name="Center - Style1" xfId="13"/>
    <cellStyle name="Drilld - Style5" xfId="14"/>
    <cellStyle name="Hyperlink" xfId="15" builtinId="8"/>
    <cellStyle name="Italic - Style1" xfId="16"/>
    <cellStyle name="Italic - Style3" xfId="17"/>
    <cellStyle name="Italic - Style4" xfId="18"/>
    <cellStyle name="Italic - Style5" xfId="19"/>
    <cellStyle name="Narrow - Style5" xfId="20"/>
    <cellStyle name="Normal" xfId="0" builtinId="0"/>
    <cellStyle name="Normal 2" xfId="21"/>
    <cellStyle name="Percent" xfId="32" builtinId="5"/>
    <cellStyle name="Yellow - Style2" xfId="22"/>
    <cellStyle name="Yellow - Style3" xfId="23"/>
    <cellStyle name="Yellow - Style4" xfId="24"/>
    <cellStyle name="Yellow - Style5" xfId="25"/>
    <cellStyle name="Yellow - Style6" xfId="26"/>
    <cellStyle name="Yellow - Style6_AECALCBC" xfId="27"/>
    <cellStyle name="Yellow - Style6_HUSCOSTSBC" xfId="28"/>
    <cellStyle name="Yellow - Style6_PRICESHC" xfId="29"/>
    <cellStyle name="Yellow - Style7" xfId="30"/>
    <cellStyle name="Yellow - Style8"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'Growth path'!$P$7</c:f>
              <c:strCache>
                <c:ptCount val="1"/>
                <c:pt idx="0">
                  <c:v>Steer growth </c:v>
                </c:pt>
              </c:strCache>
            </c:strRef>
          </c:tx>
          <c:spPr>
            <a:ln w="28575" cap="rnd">
              <a:solidFill>
                <a:schemeClr val="accent1"/>
              </a:solidFill>
              <a:round/>
            </a:ln>
            <a:effectLst/>
          </c:spPr>
          <c:marker>
            <c:symbol val="none"/>
          </c:marker>
          <c:cat>
            <c:numRef>
              <c:f>'Growth path'!$L$10:$L$58</c:f>
              <c:numCache>
                <c:formatCode>0</c:formatCode>
                <c:ptCount val="49"/>
                <c:pt idx="0" formatCode="General">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numCache>
            </c:numRef>
          </c:cat>
          <c:val>
            <c:numRef>
              <c:f>'Growth path'!$P$10:$P$58</c:f>
              <c:numCache>
                <c:formatCode>0</c:formatCode>
                <c:ptCount val="49"/>
                <c:pt idx="0">
                  <c:v>30</c:v>
                </c:pt>
                <c:pt idx="1">
                  <c:v>57.900000000000006</c:v>
                </c:pt>
                <c:pt idx="2">
                  <c:v>85.800000000000011</c:v>
                </c:pt>
                <c:pt idx="3">
                  <c:v>111.00000000000001</c:v>
                </c:pt>
                <c:pt idx="4">
                  <c:v>138.9</c:v>
                </c:pt>
                <c:pt idx="5">
                  <c:v>165.9</c:v>
                </c:pt>
                <c:pt idx="6">
                  <c:v>193.8</c:v>
                </c:pt>
                <c:pt idx="7">
                  <c:v>196.8</c:v>
                </c:pt>
                <c:pt idx="8">
                  <c:v>196.8</c:v>
                </c:pt>
                <c:pt idx="9">
                  <c:v>196.8</c:v>
                </c:pt>
                <c:pt idx="10">
                  <c:v>196.8</c:v>
                </c:pt>
                <c:pt idx="11">
                  <c:v>201.45000000000002</c:v>
                </c:pt>
                <c:pt idx="12">
                  <c:v>213.45000000000002</c:v>
                </c:pt>
                <c:pt idx="13">
                  <c:v>235.15</c:v>
                </c:pt>
                <c:pt idx="14">
                  <c:v>256.85000000000002</c:v>
                </c:pt>
                <c:pt idx="15">
                  <c:v>270.85000000000002</c:v>
                </c:pt>
                <c:pt idx="16">
                  <c:v>286.35000000000002</c:v>
                </c:pt>
                <c:pt idx="17">
                  <c:v>301.35000000000002</c:v>
                </c:pt>
                <c:pt idx="18">
                  <c:v>307.55</c:v>
                </c:pt>
                <c:pt idx="19">
                  <c:v>310.55</c:v>
                </c:pt>
                <c:pt idx="20">
                  <c:v>310.55</c:v>
                </c:pt>
                <c:pt idx="21">
                  <c:v>310.55</c:v>
                </c:pt>
                <c:pt idx="22">
                  <c:v>310.55</c:v>
                </c:pt>
                <c:pt idx="23">
                  <c:v>315.2</c:v>
                </c:pt>
                <c:pt idx="24">
                  <c:v>327.2</c:v>
                </c:pt>
                <c:pt idx="25">
                  <c:v>348.9</c:v>
                </c:pt>
                <c:pt idx="26">
                  <c:v>370.59999999999997</c:v>
                </c:pt>
                <c:pt idx="27">
                  <c:v>384.59999999999997</c:v>
                </c:pt>
                <c:pt idx="28">
                  <c:v>400.09999999999997</c:v>
                </c:pt>
                <c:pt idx="29">
                  <c:v>415.09999999999997</c:v>
                </c:pt>
                <c:pt idx="30">
                  <c:v>421.29999999999995</c:v>
                </c:pt>
                <c:pt idx="31">
                  <c:v>424.29999999999995</c:v>
                </c:pt>
                <c:pt idx="32">
                  <c:v>424.29999999999995</c:v>
                </c:pt>
                <c:pt idx="33">
                  <c:v>424.29999999999995</c:v>
                </c:pt>
                <c:pt idx="34">
                  <c:v>424.29999999999995</c:v>
                </c:pt>
                <c:pt idx="35">
                  <c:v>428.94999999999993</c:v>
                </c:pt>
                <c:pt idx="36">
                  <c:v>440.94999999999993</c:v>
                </c:pt>
                <c:pt idx="37">
                  <c:v>462.64999999999992</c:v>
                </c:pt>
                <c:pt idx="38">
                  <c:v>484.34999999999991</c:v>
                </c:pt>
                <c:pt idx="39">
                  <c:v>498.34999999999991</c:v>
                </c:pt>
                <c:pt idx="40">
                  <c:v>513.84999999999991</c:v>
                </c:pt>
                <c:pt idx="41">
                  <c:v>528.84999999999991</c:v>
                </c:pt>
                <c:pt idx="42">
                  <c:v>535.04999999999995</c:v>
                </c:pt>
                <c:pt idx="43">
                  <c:v>538.04999999999995</c:v>
                </c:pt>
                <c:pt idx="44">
                  <c:v>538.04999999999995</c:v>
                </c:pt>
                <c:pt idx="45">
                  <c:v>538.04999999999995</c:v>
                </c:pt>
                <c:pt idx="46">
                  <c:v>538.04999999999995</c:v>
                </c:pt>
                <c:pt idx="47">
                  <c:v>542.69999999999993</c:v>
                </c:pt>
                <c:pt idx="48">
                  <c:v>554.69999999999993</c:v>
                </c:pt>
              </c:numCache>
            </c:numRef>
          </c:val>
          <c:smooth val="0"/>
          <c:extLst>
            <c:ext xmlns:c16="http://schemas.microsoft.com/office/drawing/2014/chart" uri="{C3380CC4-5D6E-409C-BE32-E72D297353CC}">
              <c16:uniqueId val="{00000000-DBA6-47A6-938B-B59C2DBC68E2}"/>
            </c:ext>
          </c:extLst>
        </c:ser>
        <c:ser>
          <c:idx val="1"/>
          <c:order val="1"/>
          <c:tx>
            <c:strRef>
              <c:f>'Growth path'!$R$7</c:f>
              <c:strCache>
                <c:ptCount val="1"/>
                <c:pt idx="0">
                  <c:v>Heifer growth</c:v>
                </c:pt>
              </c:strCache>
            </c:strRef>
          </c:tx>
          <c:spPr>
            <a:ln w="28575" cap="rnd">
              <a:solidFill>
                <a:schemeClr val="accent2"/>
              </a:solidFill>
              <a:round/>
            </a:ln>
            <a:effectLst/>
          </c:spPr>
          <c:marker>
            <c:symbol val="none"/>
          </c:marker>
          <c:cat>
            <c:numRef>
              <c:f>'Growth path'!$L$10:$L$58</c:f>
              <c:numCache>
                <c:formatCode>0</c:formatCode>
                <c:ptCount val="49"/>
                <c:pt idx="0" formatCode="General">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numCache>
            </c:numRef>
          </c:cat>
          <c:val>
            <c:numRef>
              <c:f>'Growth path'!$R$10:$R$46</c:f>
              <c:numCache>
                <c:formatCode>0</c:formatCode>
                <c:ptCount val="37"/>
                <c:pt idx="0">
                  <c:v>30</c:v>
                </c:pt>
                <c:pt idx="1">
                  <c:v>56.504999999999995</c:v>
                </c:pt>
                <c:pt idx="2">
                  <c:v>83.009999999999991</c:v>
                </c:pt>
                <c:pt idx="3">
                  <c:v>106.94999999999999</c:v>
                </c:pt>
                <c:pt idx="4">
                  <c:v>133.45499999999998</c:v>
                </c:pt>
                <c:pt idx="5">
                  <c:v>159.10499999999999</c:v>
                </c:pt>
                <c:pt idx="6">
                  <c:v>185.60999999999999</c:v>
                </c:pt>
                <c:pt idx="7">
                  <c:v>188.45999999999998</c:v>
                </c:pt>
                <c:pt idx="8">
                  <c:v>188.45999999999998</c:v>
                </c:pt>
                <c:pt idx="9">
                  <c:v>188.45999999999998</c:v>
                </c:pt>
                <c:pt idx="10">
                  <c:v>188.45999999999998</c:v>
                </c:pt>
                <c:pt idx="11">
                  <c:v>192.87749999999997</c:v>
                </c:pt>
                <c:pt idx="12">
                  <c:v>204.27749999999997</c:v>
                </c:pt>
                <c:pt idx="13">
                  <c:v>224.89249999999998</c:v>
                </c:pt>
                <c:pt idx="14">
                  <c:v>245.50749999999999</c:v>
                </c:pt>
                <c:pt idx="15">
                  <c:v>258.8075</c:v>
                </c:pt>
                <c:pt idx="16">
                  <c:v>273.53250000000003</c:v>
                </c:pt>
                <c:pt idx="17">
                  <c:v>287.78250000000003</c:v>
                </c:pt>
                <c:pt idx="18">
                  <c:v>293.67250000000001</c:v>
                </c:pt>
                <c:pt idx="19">
                  <c:v>296.52250000000004</c:v>
                </c:pt>
                <c:pt idx="20">
                  <c:v>296.52250000000004</c:v>
                </c:pt>
                <c:pt idx="21">
                  <c:v>296.52250000000004</c:v>
                </c:pt>
                <c:pt idx="22">
                  <c:v>296.52250000000004</c:v>
                </c:pt>
                <c:pt idx="23">
                  <c:v>300.94000000000005</c:v>
                </c:pt>
                <c:pt idx="24">
                  <c:v>312.34000000000003</c:v>
                </c:pt>
                <c:pt idx="25">
                  <c:v>332.95500000000004</c:v>
                </c:pt>
                <c:pt idx="26">
                  <c:v>353.57000000000005</c:v>
                </c:pt>
                <c:pt idx="27">
                  <c:v>366.87000000000006</c:v>
                </c:pt>
                <c:pt idx="28">
                  <c:v>381.59500000000008</c:v>
                </c:pt>
                <c:pt idx="29">
                  <c:v>395.84500000000008</c:v>
                </c:pt>
                <c:pt idx="30">
                  <c:v>401.73500000000007</c:v>
                </c:pt>
                <c:pt idx="31">
                  <c:v>404.58500000000009</c:v>
                </c:pt>
                <c:pt idx="32">
                  <c:v>404.58500000000009</c:v>
                </c:pt>
                <c:pt idx="33">
                  <c:v>404.58500000000009</c:v>
                </c:pt>
                <c:pt idx="34">
                  <c:v>404.58500000000009</c:v>
                </c:pt>
                <c:pt idx="35">
                  <c:v>409.00250000000011</c:v>
                </c:pt>
                <c:pt idx="36">
                  <c:v>420.40250000000009</c:v>
                </c:pt>
              </c:numCache>
            </c:numRef>
          </c:val>
          <c:smooth val="0"/>
          <c:extLst>
            <c:ext xmlns:c16="http://schemas.microsoft.com/office/drawing/2014/chart" uri="{C3380CC4-5D6E-409C-BE32-E72D297353CC}">
              <c16:uniqueId val="{00000001-DBA6-47A6-938B-B59C2DBC68E2}"/>
            </c:ext>
          </c:extLst>
        </c:ser>
        <c:dLbls>
          <c:showLegendKey val="0"/>
          <c:showVal val="0"/>
          <c:showCatName val="0"/>
          <c:showSerName val="0"/>
          <c:showPercent val="0"/>
          <c:showBubbleSize val="0"/>
        </c:dLbls>
        <c:smooth val="0"/>
        <c:axId val="463988256"/>
        <c:axId val="463988648"/>
      </c:lineChart>
      <c:catAx>
        <c:axId val="4639882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Months of 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3988648"/>
        <c:crosses val="autoZero"/>
        <c:auto val="1"/>
        <c:lblAlgn val="ctr"/>
        <c:lblOffset val="100"/>
        <c:noMultiLvlLbl val="0"/>
      </c:catAx>
      <c:valAx>
        <c:axId val="463988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Kilograms live weight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3988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558800</xdr:colOff>
      <xdr:row>37</xdr:row>
      <xdr:rowOff>57148</xdr:rowOff>
    </xdr:from>
    <xdr:to>
      <xdr:col>9</xdr:col>
      <xdr:colOff>558800</xdr:colOff>
      <xdr:row>66</xdr:row>
      <xdr:rowOff>101600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publish.csiro.au/nid/22/pid/2483.htm" TargetMode="External"/><Relationship Id="rId1" Type="http://schemas.openxmlformats.org/officeDocument/2006/relationships/hyperlink" Target="http://www.publish.csiro.au/nid/22/pid/2483.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1"/>
  <sheetViews>
    <sheetView showGridLines="0" topLeftCell="R19" zoomScale="75" zoomScaleNormal="75" workbookViewId="0">
      <selection activeCell="AD41" sqref="AD41"/>
    </sheetView>
  </sheetViews>
  <sheetFormatPr defaultColWidth="9.08984375" defaultRowHeight="12.5" x14ac:dyDescent="0.25"/>
  <cols>
    <col min="1" max="2" width="9.08984375" style="362"/>
    <col min="3" max="3" width="41.36328125" style="362" customWidth="1"/>
    <col min="4" max="4" width="11.54296875" style="362" customWidth="1"/>
    <col min="5" max="5" width="13.36328125" style="362" customWidth="1"/>
    <col min="6" max="6" width="15.54296875" style="362" customWidth="1"/>
    <col min="7" max="7" width="9.08984375" style="362"/>
    <col min="8" max="8" width="14.453125" style="362" customWidth="1"/>
    <col min="9" max="9" width="17.6328125" style="362" customWidth="1"/>
    <col min="10" max="11" width="9.08984375" style="362"/>
    <col min="12" max="12" width="21.90625" style="362" bestFit="1" customWidth="1"/>
    <col min="13" max="13" width="13.453125" style="362" bestFit="1" customWidth="1"/>
    <col min="14" max="14" width="8.08984375" style="362" bestFit="1" customWidth="1"/>
    <col min="15" max="15" width="19.6328125" style="362" bestFit="1" customWidth="1"/>
    <col min="16" max="16" width="15.6328125" style="362" bestFit="1" customWidth="1"/>
    <col min="17" max="17" width="20.90625" style="362" bestFit="1" customWidth="1"/>
    <col min="18" max="18" width="15.6328125" style="362" bestFit="1" customWidth="1"/>
    <col min="19" max="23" width="9.08984375" style="362"/>
    <col min="24" max="24" width="11" style="362" customWidth="1"/>
    <col min="25" max="25" width="10.6328125" style="362" customWidth="1"/>
    <col min="26" max="26" width="10.36328125" style="362" customWidth="1"/>
    <col min="27" max="28" width="9.08984375" style="362"/>
    <col min="29" max="29" width="32" style="362" bestFit="1" customWidth="1"/>
    <col min="30" max="30" width="11" style="362" customWidth="1"/>
    <col min="31" max="31" width="13" style="362" customWidth="1"/>
    <col min="32" max="16384" width="9.08984375" style="362"/>
  </cols>
  <sheetData>
    <row r="1" spans="1:20" ht="13" x14ac:dyDescent="0.3">
      <c r="A1" s="325"/>
      <c r="B1" s="553"/>
      <c r="C1" s="325"/>
      <c r="D1" s="325"/>
      <c r="E1" s="325"/>
      <c r="F1" s="325"/>
      <c r="G1" s="325"/>
      <c r="H1" s="325"/>
      <c r="I1" s="325"/>
      <c r="J1" s="326"/>
      <c r="K1" s="325"/>
      <c r="L1" s="325"/>
      <c r="M1" s="325"/>
      <c r="N1" s="325"/>
      <c r="O1" s="325"/>
      <c r="P1" s="327"/>
      <c r="Q1" s="327"/>
      <c r="R1" s="327"/>
      <c r="S1" s="327"/>
      <c r="T1" s="325"/>
    </row>
    <row r="2" spans="1:20" ht="13" x14ac:dyDescent="0.3">
      <c r="A2" s="328" t="s">
        <v>670</v>
      </c>
      <c r="B2" s="325"/>
      <c r="C2" s="325"/>
      <c r="D2" s="325"/>
      <c r="E2" s="325"/>
      <c r="F2" s="325"/>
      <c r="G2" s="325"/>
      <c r="H2" s="325"/>
      <c r="I2" s="325"/>
      <c r="J2" s="326"/>
      <c r="K2" s="325"/>
      <c r="L2" s="325"/>
      <c r="M2" s="325"/>
      <c r="N2" s="325"/>
      <c r="O2" s="325"/>
      <c r="P2" s="327"/>
      <c r="Q2" s="327"/>
      <c r="R2" s="327"/>
      <c r="S2" s="327"/>
      <c r="T2" s="325"/>
    </row>
    <row r="3" spans="1:20" ht="13" x14ac:dyDescent="0.3">
      <c r="A3" s="328"/>
      <c r="B3" s="325"/>
      <c r="C3" s="325"/>
      <c r="D3" s="325"/>
      <c r="E3" s="325"/>
      <c r="F3" s="325"/>
      <c r="G3" s="325"/>
      <c r="H3" s="325"/>
      <c r="I3" s="325"/>
      <c r="J3" s="326"/>
      <c r="K3" s="325"/>
      <c r="L3" s="325"/>
      <c r="M3" s="325"/>
      <c r="N3" s="325"/>
      <c r="O3" s="325"/>
      <c r="P3" s="327"/>
      <c r="Q3" s="327"/>
      <c r="R3" s="327"/>
      <c r="S3" s="327"/>
      <c r="T3" s="325"/>
    </row>
    <row r="4" spans="1:20" ht="13" x14ac:dyDescent="0.3">
      <c r="A4" s="328"/>
      <c r="B4" s="325"/>
      <c r="C4" s="325"/>
      <c r="D4" s="325"/>
      <c r="E4" s="325"/>
      <c r="F4" s="325"/>
      <c r="G4" s="325"/>
      <c r="H4" s="325"/>
      <c r="I4" s="325"/>
      <c r="J4" s="326"/>
      <c r="K4" s="325"/>
      <c r="L4" s="325"/>
      <c r="M4" s="325"/>
      <c r="N4" s="325"/>
      <c r="O4" s="325"/>
      <c r="P4" s="327"/>
      <c r="Q4" s="327"/>
      <c r="R4" s="327"/>
      <c r="S4" s="327"/>
      <c r="T4" s="325"/>
    </row>
    <row r="5" spans="1:20" ht="13" x14ac:dyDescent="0.3">
      <c r="A5" s="325"/>
      <c r="B5" s="325"/>
      <c r="C5" s="554" t="s">
        <v>488</v>
      </c>
      <c r="D5" s="329"/>
      <c r="E5" s="325"/>
      <c r="F5" s="325"/>
      <c r="G5" s="325"/>
      <c r="H5" s="325"/>
      <c r="I5" s="325"/>
      <c r="J5" s="326"/>
      <c r="K5" s="325"/>
      <c r="L5" s="325"/>
      <c r="M5" s="325"/>
      <c r="N5" s="325"/>
      <c r="O5" s="325"/>
      <c r="P5" s="330"/>
      <c r="Q5" s="327"/>
      <c r="R5" s="327"/>
      <c r="S5" s="327"/>
      <c r="T5" s="325"/>
    </row>
    <row r="6" spans="1:20" ht="13" x14ac:dyDescent="0.3">
      <c r="A6" s="325"/>
      <c r="B6" s="325"/>
      <c r="C6" s="554"/>
      <c r="D6" s="329"/>
      <c r="E6" s="325"/>
      <c r="F6" s="325"/>
      <c r="G6" s="325"/>
      <c r="H6" s="325"/>
      <c r="I6" s="325"/>
      <c r="J6" s="326"/>
      <c r="K6" s="325"/>
      <c r="L6" s="325"/>
      <c r="M6" s="325"/>
      <c r="N6" s="325"/>
      <c r="O6" s="325"/>
      <c r="P6" s="330"/>
      <c r="Q6" s="327"/>
      <c r="R6" s="327"/>
      <c r="S6" s="327"/>
      <c r="T6" s="325"/>
    </row>
    <row r="7" spans="1:20" ht="13" x14ac:dyDescent="0.3">
      <c r="A7" s="325"/>
      <c r="B7" s="325"/>
      <c r="C7" s="325" t="s">
        <v>489</v>
      </c>
      <c r="D7" s="331">
        <v>43449</v>
      </c>
      <c r="E7" s="325"/>
      <c r="F7" s="325"/>
      <c r="G7" s="325"/>
      <c r="H7" s="325"/>
      <c r="I7" s="325"/>
      <c r="J7" s="326"/>
      <c r="K7" s="325"/>
      <c r="L7" s="330"/>
      <c r="M7" s="325"/>
      <c r="N7" s="327"/>
      <c r="O7" s="332" t="s">
        <v>490</v>
      </c>
      <c r="P7" s="332" t="s">
        <v>491</v>
      </c>
      <c r="Q7" s="332" t="s">
        <v>490</v>
      </c>
      <c r="R7" s="332" t="s">
        <v>492</v>
      </c>
      <c r="S7" s="327"/>
      <c r="T7" s="325"/>
    </row>
    <row r="8" spans="1:20" ht="13" x14ac:dyDescent="0.3">
      <c r="A8" s="325"/>
      <c r="B8" s="325"/>
      <c r="C8" s="325" t="s">
        <v>493</v>
      </c>
      <c r="D8" s="331">
        <v>43632</v>
      </c>
      <c r="E8" s="325"/>
      <c r="F8" s="325"/>
      <c r="G8" s="325"/>
      <c r="H8" s="325"/>
      <c r="I8" s="325"/>
      <c r="J8" s="326"/>
      <c r="K8" s="325"/>
      <c r="L8" s="333" t="s">
        <v>494</v>
      </c>
      <c r="M8" s="334" t="s">
        <v>495</v>
      </c>
      <c r="N8" s="335"/>
      <c r="O8" s="334" t="s">
        <v>496</v>
      </c>
      <c r="P8" s="334" t="s">
        <v>669</v>
      </c>
      <c r="Q8" s="334" t="s">
        <v>497</v>
      </c>
      <c r="R8" s="334" t="s">
        <v>669</v>
      </c>
      <c r="S8" s="327"/>
      <c r="T8" s="325"/>
    </row>
    <row r="9" spans="1:20" ht="13" x14ac:dyDescent="0.3">
      <c r="A9" s="326"/>
      <c r="B9" s="326"/>
      <c r="C9" s="336" t="s">
        <v>498</v>
      </c>
      <c r="D9" s="337">
        <f>(D8-D7)/30.42</f>
        <v>6.0157790927021697</v>
      </c>
      <c r="E9" s="326" t="s">
        <v>499</v>
      </c>
      <c r="F9" s="326"/>
      <c r="G9" s="326"/>
      <c r="H9" s="326"/>
      <c r="I9" s="326"/>
      <c r="J9" s="326"/>
      <c r="K9" s="326"/>
      <c r="L9" s="333" t="s">
        <v>500</v>
      </c>
      <c r="M9" s="334" t="s">
        <v>501</v>
      </c>
      <c r="N9" s="333" t="s">
        <v>141</v>
      </c>
      <c r="O9" s="334" t="s">
        <v>502</v>
      </c>
      <c r="P9" s="330" t="s">
        <v>503</v>
      </c>
      <c r="Q9" s="334" t="s">
        <v>502</v>
      </c>
      <c r="R9" s="330" t="s">
        <v>503</v>
      </c>
      <c r="S9" s="326"/>
      <c r="T9" s="325"/>
    </row>
    <row r="10" spans="1:20" x14ac:dyDescent="0.25">
      <c r="A10" s="326"/>
      <c r="B10" s="326"/>
      <c r="C10" s="326" t="s">
        <v>504</v>
      </c>
      <c r="D10" s="370">
        <f>D8-D7</f>
        <v>183</v>
      </c>
      <c r="E10" s="326" t="s">
        <v>505</v>
      </c>
      <c r="F10" s="326"/>
      <c r="G10" s="326"/>
      <c r="H10" s="326"/>
      <c r="I10" s="326"/>
      <c r="J10" s="326"/>
      <c r="K10" s="330" t="s">
        <v>506</v>
      </c>
      <c r="L10" s="330">
        <v>0</v>
      </c>
      <c r="M10" s="341">
        <f>D7</f>
        <v>43449</v>
      </c>
      <c r="N10" s="330" t="str">
        <f>VLOOKUP(MONTH(M10),A36:B47,2)</f>
        <v>Dec</v>
      </c>
      <c r="O10" s="327"/>
      <c r="P10" s="338">
        <v>30</v>
      </c>
      <c r="Q10" s="327"/>
      <c r="R10" s="338">
        <v>30</v>
      </c>
      <c r="S10" s="326"/>
      <c r="T10" s="325"/>
    </row>
    <row r="11" spans="1:20" x14ac:dyDescent="0.25">
      <c r="A11" s="326"/>
      <c r="B11" s="326"/>
      <c r="C11" s="326" t="s">
        <v>507</v>
      </c>
      <c r="D11" s="339">
        <v>0.9</v>
      </c>
      <c r="E11" s="326" t="s">
        <v>508</v>
      </c>
      <c r="F11" s="326"/>
      <c r="G11" s="326"/>
      <c r="H11" s="326"/>
      <c r="I11" s="326"/>
      <c r="J11" s="326"/>
      <c r="K11" s="326"/>
      <c r="L11" s="340">
        <v>1</v>
      </c>
      <c r="M11" s="341">
        <f>M10+VLOOKUP(MONTH(M10),$B$21:$D$32,3)</f>
        <v>43480</v>
      </c>
      <c r="N11" s="330" t="str">
        <f>VLOOKUP(MONTH(M11),A36:B47,2)</f>
        <v>Jan</v>
      </c>
      <c r="O11" s="342">
        <f>D11</f>
        <v>0.9</v>
      </c>
      <c r="P11" s="340">
        <f t="shared" ref="P11:P70" si="0">P10+(O11*(M11-M10))</f>
        <v>57.900000000000006</v>
      </c>
      <c r="Q11" s="342">
        <f>D13</f>
        <v>0.85499999999999998</v>
      </c>
      <c r="R11" s="340">
        <f t="shared" ref="R11:R46" si="1">R10+(Q11*(M11-M10))</f>
        <v>56.504999999999995</v>
      </c>
      <c r="S11" s="326"/>
      <c r="T11" s="325"/>
    </row>
    <row r="12" spans="1:20" x14ac:dyDescent="0.25">
      <c r="A12" s="326"/>
      <c r="B12" s="326"/>
      <c r="C12" s="325" t="s">
        <v>509</v>
      </c>
      <c r="D12" s="343">
        <v>0.05</v>
      </c>
      <c r="E12" s="326"/>
      <c r="F12" s="326"/>
      <c r="G12" s="326"/>
      <c r="H12" s="326"/>
      <c r="I12" s="326"/>
      <c r="J12" s="326"/>
      <c r="K12" s="326"/>
      <c r="L12" s="340">
        <v>2</v>
      </c>
      <c r="M12" s="341">
        <f t="shared" ref="M12:M70" si="2">M11+VLOOKUP(MONTH(M11),$B$21:$D$32,3)</f>
        <v>43511</v>
      </c>
      <c r="N12" s="330" t="str">
        <f>VLOOKUP(MONTH(M12),A36:B47,2)</f>
        <v>Feb</v>
      </c>
      <c r="O12" s="342">
        <f>D11</f>
        <v>0.9</v>
      </c>
      <c r="P12" s="340">
        <f t="shared" si="0"/>
        <v>85.800000000000011</v>
      </c>
      <c r="Q12" s="342">
        <f>D13</f>
        <v>0.85499999999999998</v>
      </c>
      <c r="R12" s="340">
        <f t="shared" si="1"/>
        <v>83.009999999999991</v>
      </c>
      <c r="S12" s="326"/>
      <c r="T12" s="325"/>
    </row>
    <row r="13" spans="1:20" x14ac:dyDescent="0.25">
      <c r="A13" s="325"/>
      <c r="B13" s="325"/>
      <c r="C13" s="326" t="s">
        <v>510</v>
      </c>
      <c r="D13" s="344">
        <f>D11-(D11*D12)</f>
        <v>0.85499999999999998</v>
      </c>
      <c r="E13" s="326" t="s">
        <v>508</v>
      </c>
      <c r="F13" s="325"/>
      <c r="G13" s="325"/>
      <c r="H13" s="325"/>
      <c r="I13" s="325"/>
      <c r="J13" s="326"/>
      <c r="K13" s="325"/>
      <c r="L13" s="340">
        <v>3</v>
      </c>
      <c r="M13" s="341">
        <f t="shared" si="2"/>
        <v>43539</v>
      </c>
      <c r="N13" s="330" t="str">
        <f>VLOOKUP(MONTH(M13),A36:B47,2)</f>
        <v>Mar</v>
      </c>
      <c r="O13" s="342">
        <f>D11</f>
        <v>0.9</v>
      </c>
      <c r="P13" s="340">
        <f t="shared" si="0"/>
        <v>111.00000000000001</v>
      </c>
      <c r="Q13" s="342">
        <f>D13</f>
        <v>0.85499999999999998</v>
      </c>
      <c r="R13" s="340">
        <f t="shared" si="1"/>
        <v>106.94999999999999</v>
      </c>
      <c r="S13" s="327"/>
      <c r="T13" s="325"/>
    </row>
    <row r="14" spans="1:20" x14ac:dyDescent="0.25">
      <c r="A14" s="325"/>
      <c r="B14" s="325"/>
      <c r="C14" s="325"/>
      <c r="D14" s="325"/>
      <c r="E14" s="325"/>
      <c r="F14" s="325"/>
      <c r="G14" s="325"/>
      <c r="H14" s="325"/>
      <c r="I14" s="325"/>
      <c r="J14" s="326"/>
      <c r="K14" s="325"/>
      <c r="L14" s="340">
        <v>4</v>
      </c>
      <c r="M14" s="341">
        <f t="shared" si="2"/>
        <v>43570</v>
      </c>
      <c r="N14" s="330" t="str">
        <f>VLOOKUP(MONTH(M14),A36:B47,2)</f>
        <v>Apr</v>
      </c>
      <c r="O14" s="342">
        <f>D11</f>
        <v>0.9</v>
      </c>
      <c r="P14" s="340">
        <f t="shared" si="0"/>
        <v>138.9</v>
      </c>
      <c r="Q14" s="342">
        <f>D13</f>
        <v>0.85499999999999998</v>
      </c>
      <c r="R14" s="340">
        <f t="shared" si="1"/>
        <v>133.45499999999998</v>
      </c>
      <c r="S14" s="327"/>
      <c r="T14" s="325"/>
    </row>
    <row r="15" spans="1:20" x14ac:dyDescent="0.25">
      <c r="A15" s="325"/>
      <c r="B15" s="325"/>
      <c r="C15" s="325"/>
      <c r="D15" s="325"/>
      <c r="E15" s="325"/>
      <c r="F15" s="325"/>
      <c r="G15" s="325"/>
      <c r="H15" s="325"/>
      <c r="I15" s="325"/>
      <c r="J15" s="326"/>
      <c r="K15" s="325"/>
      <c r="L15" s="340">
        <v>5</v>
      </c>
      <c r="M15" s="341">
        <f t="shared" si="2"/>
        <v>43600</v>
      </c>
      <c r="N15" s="330" t="str">
        <f>VLOOKUP(MONTH(M15),A36:B47,2)</f>
        <v>May</v>
      </c>
      <c r="O15" s="342">
        <f>D11</f>
        <v>0.9</v>
      </c>
      <c r="P15" s="340">
        <f t="shared" si="0"/>
        <v>165.9</v>
      </c>
      <c r="Q15" s="342">
        <f>D13</f>
        <v>0.85499999999999998</v>
      </c>
      <c r="R15" s="340">
        <f t="shared" si="1"/>
        <v>159.10499999999999</v>
      </c>
      <c r="S15" s="345">
        <f>(P15+R15)/2</f>
        <v>162.5025</v>
      </c>
      <c r="T15" s="325"/>
    </row>
    <row r="16" spans="1:20" x14ac:dyDescent="0.25">
      <c r="A16" s="325"/>
      <c r="B16" s="325"/>
      <c r="C16" s="325"/>
      <c r="D16" s="325"/>
      <c r="E16" s="325"/>
      <c r="F16" s="325"/>
      <c r="G16" s="325"/>
      <c r="H16" s="325"/>
      <c r="I16" s="325"/>
      <c r="J16" s="326"/>
      <c r="K16" s="325"/>
      <c r="L16" s="550">
        <v>6</v>
      </c>
      <c r="M16" s="560">
        <f t="shared" si="2"/>
        <v>43631</v>
      </c>
      <c r="N16" s="551" t="str">
        <f>VLOOKUP(MONTH(M16),A36:B47,2)</f>
        <v>Jun</v>
      </c>
      <c r="O16" s="552">
        <f>D11</f>
        <v>0.9</v>
      </c>
      <c r="P16" s="550">
        <f t="shared" si="0"/>
        <v>193.8</v>
      </c>
      <c r="Q16" s="552">
        <f>D13</f>
        <v>0.85499999999999998</v>
      </c>
      <c r="R16" s="550">
        <f t="shared" si="1"/>
        <v>185.60999999999999</v>
      </c>
      <c r="S16" s="345">
        <f>(P16+R16)/2</f>
        <v>189.70499999999998</v>
      </c>
      <c r="T16" s="325"/>
    </row>
    <row r="17" spans="1:24" ht="13" x14ac:dyDescent="0.3">
      <c r="A17" s="325"/>
      <c r="B17" s="325"/>
      <c r="C17" s="555" t="s">
        <v>511</v>
      </c>
      <c r="D17" s="326"/>
      <c r="E17" s="326"/>
      <c r="F17" s="326"/>
      <c r="G17" s="325"/>
      <c r="H17" s="325"/>
      <c r="I17" s="325"/>
      <c r="J17" s="326"/>
      <c r="K17" s="325"/>
      <c r="L17" s="340">
        <v>7</v>
      </c>
      <c r="M17" s="341">
        <f t="shared" si="2"/>
        <v>43661</v>
      </c>
      <c r="N17" s="330" t="str">
        <f>VLOOKUP(MONTH(M17),A36:B47,2)</f>
        <v>Jul</v>
      </c>
      <c r="O17" s="342">
        <f>VLOOKUP(N17,C21:E32,3,FALSE)</f>
        <v>0.1</v>
      </c>
      <c r="P17" s="340">
        <f t="shared" si="0"/>
        <v>196.8</v>
      </c>
      <c r="Q17" s="342">
        <f>VLOOKUP(N17,C21:H32,6,FALSE)</f>
        <v>9.5000000000000001E-2</v>
      </c>
      <c r="R17" s="340">
        <f t="shared" si="1"/>
        <v>188.45999999999998</v>
      </c>
      <c r="S17" s="345"/>
      <c r="T17" s="325"/>
    </row>
    <row r="18" spans="1:24" x14ac:dyDescent="0.25">
      <c r="A18" s="325"/>
      <c r="B18" s="325"/>
      <c r="C18" s="325"/>
      <c r="D18" s="325"/>
      <c r="E18" s="325"/>
      <c r="F18" s="325"/>
      <c r="G18" s="325"/>
      <c r="H18" s="325"/>
      <c r="I18" s="325"/>
      <c r="J18" s="326"/>
      <c r="K18" s="325"/>
      <c r="L18" s="340">
        <v>8</v>
      </c>
      <c r="M18" s="341">
        <f t="shared" si="2"/>
        <v>43692</v>
      </c>
      <c r="N18" s="330" t="str">
        <f>VLOOKUP(MONTH(M18),A36:B47,2)</f>
        <v>Aug</v>
      </c>
      <c r="O18" s="342">
        <f>VLOOKUP(N18,C21:E32,3,FALSE)</f>
        <v>0</v>
      </c>
      <c r="P18" s="340">
        <f t="shared" si="0"/>
        <v>196.8</v>
      </c>
      <c r="Q18" s="342">
        <f>VLOOKUP(N18,C21:H32,6,FALSE)</f>
        <v>0</v>
      </c>
      <c r="R18" s="340">
        <f t="shared" si="1"/>
        <v>188.45999999999998</v>
      </c>
      <c r="S18" s="345"/>
      <c r="T18" s="325"/>
    </row>
    <row r="19" spans="1:24" ht="13" x14ac:dyDescent="0.3">
      <c r="A19" s="325"/>
      <c r="B19" s="325"/>
      <c r="C19" s="325"/>
      <c r="D19" s="346"/>
      <c r="E19" s="347"/>
      <c r="F19" s="326"/>
      <c r="G19" s="325"/>
      <c r="H19" s="325"/>
      <c r="I19" s="325"/>
      <c r="J19" s="326"/>
      <c r="K19" s="325"/>
      <c r="L19" s="340">
        <v>9</v>
      </c>
      <c r="M19" s="341">
        <f t="shared" si="2"/>
        <v>43723</v>
      </c>
      <c r="N19" s="330" t="str">
        <f>VLOOKUP(MONTH(M19),A36:B47,2)</f>
        <v>Sep</v>
      </c>
      <c r="O19" s="342">
        <f>VLOOKUP(N19,C21:E32,3,FALSE)</f>
        <v>0</v>
      </c>
      <c r="P19" s="340">
        <f t="shared" si="0"/>
        <v>196.8</v>
      </c>
      <c r="Q19" s="342">
        <f>VLOOKUP(N19,C21:H32,6,FALSE)</f>
        <v>0</v>
      </c>
      <c r="R19" s="340">
        <f t="shared" si="1"/>
        <v>188.45999999999998</v>
      </c>
      <c r="S19" s="327"/>
      <c r="T19" s="325"/>
    </row>
    <row r="20" spans="1:24" x14ac:dyDescent="0.25">
      <c r="A20" s="325"/>
      <c r="B20" s="325"/>
      <c r="C20" s="556" t="s">
        <v>141</v>
      </c>
      <c r="D20" s="556" t="s">
        <v>512</v>
      </c>
      <c r="E20" s="557" t="s">
        <v>513</v>
      </c>
      <c r="F20" s="348" t="s">
        <v>514</v>
      </c>
      <c r="G20" s="556" t="s">
        <v>512</v>
      </c>
      <c r="H20" s="557" t="s">
        <v>515</v>
      </c>
      <c r="I20" s="348" t="s">
        <v>516</v>
      </c>
      <c r="J20" s="326"/>
      <c r="K20" s="325"/>
      <c r="L20" s="340">
        <v>10</v>
      </c>
      <c r="M20" s="341">
        <f t="shared" si="2"/>
        <v>43753</v>
      </c>
      <c r="N20" s="330" t="str">
        <f>VLOOKUP(MONTH(M20),A36:B47,2)</f>
        <v>Oct</v>
      </c>
      <c r="O20" s="342">
        <f>VLOOKUP(N20,C21:E32,3,FALSE)</f>
        <v>0</v>
      </c>
      <c r="P20" s="349">
        <f t="shared" si="0"/>
        <v>196.8</v>
      </c>
      <c r="Q20" s="342">
        <f>VLOOKUP(N20,C21:H32,6,FALSE)</f>
        <v>0</v>
      </c>
      <c r="R20" s="340">
        <f t="shared" si="1"/>
        <v>188.45999999999998</v>
      </c>
      <c r="S20" s="327"/>
      <c r="T20" s="325"/>
    </row>
    <row r="21" spans="1:24" x14ac:dyDescent="0.25">
      <c r="A21" s="325"/>
      <c r="B21" s="362">
        <v>1</v>
      </c>
      <c r="C21" s="330" t="s">
        <v>517</v>
      </c>
      <c r="D21" s="327">
        <v>31</v>
      </c>
      <c r="E21" s="350">
        <v>0.7</v>
      </c>
      <c r="F21" s="351">
        <f>E21*D21</f>
        <v>21.7</v>
      </c>
      <c r="G21" s="327">
        <v>31</v>
      </c>
      <c r="H21" s="371">
        <f>E21-(E21*D12)</f>
        <v>0.66499999999999992</v>
      </c>
      <c r="I21" s="351">
        <f>H21*D21</f>
        <v>20.614999999999998</v>
      </c>
      <c r="J21" s="325"/>
      <c r="K21" s="325"/>
      <c r="L21" s="340">
        <v>11</v>
      </c>
      <c r="M21" s="341">
        <f t="shared" si="2"/>
        <v>43784</v>
      </c>
      <c r="N21" s="330" t="str">
        <f>VLOOKUP(MONTH(M21),A36:B47,2)</f>
        <v>Nov</v>
      </c>
      <c r="O21" s="342">
        <f>VLOOKUP(N21,C21:E32,3,FALSE)</f>
        <v>0.15</v>
      </c>
      <c r="P21" s="340">
        <f t="shared" si="0"/>
        <v>201.45000000000002</v>
      </c>
      <c r="Q21" s="342">
        <f>VLOOKUP(N21,C21:H32,6,FALSE)</f>
        <v>0.14249999999999999</v>
      </c>
      <c r="R21" s="340">
        <f t="shared" si="1"/>
        <v>192.87749999999997</v>
      </c>
      <c r="S21" s="327"/>
      <c r="T21" s="325"/>
    </row>
    <row r="22" spans="1:24" x14ac:dyDescent="0.25">
      <c r="A22" s="325"/>
      <c r="B22" s="362">
        <v>2</v>
      </c>
      <c r="C22" s="327" t="s">
        <v>518</v>
      </c>
      <c r="D22" s="327">
        <v>28</v>
      </c>
      <c r="E22" s="350">
        <v>0.7</v>
      </c>
      <c r="F22" s="351">
        <f t="shared" ref="F22:F32" si="3">E22*D22</f>
        <v>19.599999999999998</v>
      </c>
      <c r="G22" s="327">
        <v>28</v>
      </c>
      <c r="H22" s="371">
        <f>E22-(E22*D12)</f>
        <v>0.66499999999999992</v>
      </c>
      <c r="I22" s="351">
        <f t="shared" ref="I22:I32" si="4">H22*D22</f>
        <v>18.619999999999997</v>
      </c>
      <c r="J22" s="325"/>
      <c r="K22" s="325"/>
      <c r="L22" s="352">
        <v>12</v>
      </c>
      <c r="M22" s="353">
        <f t="shared" si="2"/>
        <v>43814</v>
      </c>
      <c r="N22" s="354" t="str">
        <f>VLOOKUP(MONTH(M22),A36:B47,2)</f>
        <v>Dec</v>
      </c>
      <c r="O22" s="355">
        <f>VLOOKUP(N22,C21:E32,3,FALSE)</f>
        <v>0.4</v>
      </c>
      <c r="P22" s="352">
        <f t="shared" si="0"/>
        <v>213.45000000000002</v>
      </c>
      <c r="Q22" s="355">
        <f>VLOOKUP(N22,C21:H32,6,FALSE)</f>
        <v>0.38</v>
      </c>
      <c r="R22" s="352">
        <f t="shared" si="1"/>
        <v>204.27749999999997</v>
      </c>
      <c r="S22" s="345">
        <f>(P22+R22)/2</f>
        <v>208.86374999999998</v>
      </c>
      <c r="T22" s="325"/>
      <c r="U22"/>
      <c r="V22"/>
      <c r="W22"/>
      <c r="X22"/>
    </row>
    <row r="23" spans="1:24" x14ac:dyDescent="0.25">
      <c r="A23" s="325"/>
      <c r="B23" s="362">
        <v>3</v>
      </c>
      <c r="C23" s="330" t="s">
        <v>519</v>
      </c>
      <c r="D23" s="327">
        <v>31</v>
      </c>
      <c r="E23" s="350">
        <v>0.5</v>
      </c>
      <c r="F23" s="351">
        <f t="shared" si="3"/>
        <v>15.5</v>
      </c>
      <c r="G23" s="327">
        <v>31</v>
      </c>
      <c r="H23" s="371">
        <f>E23-(E23*D12)</f>
        <v>0.47499999999999998</v>
      </c>
      <c r="I23" s="351">
        <f t="shared" si="4"/>
        <v>14.725</v>
      </c>
      <c r="J23" s="327"/>
      <c r="K23" s="325"/>
      <c r="L23" s="340">
        <v>13</v>
      </c>
      <c r="M23" s="341">
        <f t="shared" si="2"/>
        <v>43845</v>
      </c>
      <c r="N23" s="330" t="str">
        <f>VLOOKUP(MONTH(M23),A36:B47,2)</f>
        <v>Jan</v>
      </c>
      <c r="O23" s="342">
        <f>VLOOKUP(N23,C21:E32,3,FALSE)</f>
        <v>0.7</v>
      </c>
      <c r="P23" s="340">
        <f t="shared" si="0"/>
        <v>235.15</v>
      </c>
      <c r="Q23" s="342">
        <f>VLOOKUP(N23,C21:H32,6,FALSE)</f>
        <v>0.66499999999999992</v>
      </c>
      <c r="R23" s="340">
        <f t="shared" si="1"/>
        <v>224.89249999999998</v>
      </c>
      <c r="S23" s="327"/>
      <c r="T23" s="325"/>
      <c r="U23"/>
      <c r="V23"/>
      <c r="W23"/>
      <c r="X23"/>
    </row>
    <row r="24" spans="1:24" x14ac:dyDescent="0.25">
      <c r="A24" s="325"/>
      <c r="B24" s="362">
        <v>4</v>
      </c>
      <c r="C24" s="327" t="s">
        <v>520</v>
      </c>
      <c r="D24" s="327">
        <v>30</v>
      </c>
      <c r="E24" s="350">
        <v>0.5</v>
      </c>
      <c r="F24" s="351">
        <f t="shared" si="3"/>
        <v>15</v>
      </c>
      <c r="G24" s="327">
        <v>30</v>
      </c>
      <c r="H24" s="371">
        <f>E24-(E24*D12)</f>
        <v>0.47499999999999998</v>
      </c>
      <c r="I24" s="351">
        <f t="shared" si="4"/>
        <v>14.25</v>
      </c>
      <c r="J24" s="326"/>
      <c r="K24" s="325"/>
      <c r="L24" s="340">
        <v>14</v>
      </c>
      <c r="M24" s="341">
        <f t="shared" si="2"/>
        <v>43876</v>
      </c>
      <c r="N24" s="330" t="str">
        <f>VLOOKUP(MONTH(M24),A36:B47,2)</f>
        <v>Feb</v>
      </c>
      <c r="O24" s="342">
        <f>VLOOKUP(N24,C21:E32,3,FALSE)</f>
        <v>0.7</v>
      </c>
      <c r="P24" s="340">
        <f t="shared" si="0"/>
        <v>256.85000000000002</v>
      </c>
      <c r="Q24" s="342">
        <f>VLOOKUP(N24,C21:H32,6,FALSE)</f>
        <v>0.66499999999999992</v>
      </c>
      <c r="R24" s="340">
        <f t="shared" si="1"/>
        <v>245.50749999999999</v>
      </c>
      <c r="S24" s="327"/>
      <c r="T24" s="325"/>
      <c r="U24"/>
      <c r="V24"/>
      <c r="W24"/>
      <c r="X24"/>
    </row>
    <row r="25" spans="1:24" x14ac:dyDescent="0.25">
      <c r="A25" s="325"/>
      <c r="B25" s="362">
        <v>5</v>
      </c>
      <c r="C25" s="330" t="s">
        <v>521</v>
      </c>
      <c r="D25" s="327">
        <v>31</v>
      </c>
      <c r="E25" s="350">
        <v>0.5</v>
      </c>
      <c r="F25" s="351">
        <f t="shared" si="3"/>
        <v>15.5</v>
      </c>
      <c r="G25" s="327">
        <v>31</v>
      </c>
      <c r="H25" s="371">
        <f>E25-(E25*D12)</f>
        <v>0.47499999999999998</v>
      </c>
      <c r="I25" s="351">
        <f t="shared" si="4"/>
        <v>14.725</v>
      </c>
      <c r="J25" s="326"/>
      <c r="K25" s="325"/>
      <c r="L25" s="340">
        <v>15</v>
      </c>
      <c r="M25" s="341">
        <f t="shared" si="2"/>
        <v>43904</v>
      </c>
      <c r="N25" s="330" t="str">
        <f>VLOOKUP(MONTH(M25),A36:B47,2)</f>
        <v>Mar</v>
      </c>
      <c r="O25" s="342">
        <f>VLOOKUP(N25,C21:E32,3,FALSE)</f>
        <v>0.5</v>
      </c>
      <c r="P25" s="340">
        <f t="shared" si="0"/>
        <v>270.85000000000002</v>
      </c>
      <c r="Q25" s="342">
        <f>VLOOKUP(N25,C21:H32,6,FALSE)</f>
        <v>0.47499999999999998</v>
      </c>
      <c r="R25" s="340">
        <f t="shared" si="1"/>
        <v>258.8075</v>
      </c>
      <c r="S25" s="327"/>
      <c r="T25" s="325"/>
      <c r="U25"/>
      <c r="V25"/>
      <c r="W25"/>
      <c r="X25"/>
    </row>
    <row r="26" spans="1:24" x14ac:dyDescent="0.25">
      <c r="A26" s="325"/>
      <c r="B26" s="362">
        <v>6</v>
      </c>
      <c r="C26" s="327" t="s">
        <v>522</v>
      </c>
      <c r="D26" s="327">
        <v>30</v>
      </c>
      <c r="E26" s="350">
        <v>0.2</v>
      </c>
      <c r="F26" s="351">
        <f t="shared" si="3"/>
        <v>6</v>
      </c>
      <c r="G26" s="327">
        <v>30</v>
      </c>
      <c r="H26" s="371">
        <f>E26-(E26*D12)</f>
        <v>0.19</v>
      </c>
      <c r="I26" s="351">
        <f t="shared" si="4"/>
        <v>5.7</v>
      </c>
      <c r="J26" s="326"/>
      <c r="K26" s="325"/>
      <c r="L26" s="340">
        <v>16</v>
      </c>
      <c r="M26" s="341">
        <f t="shared" si="2"/>
        <v>43935</v>
      </c>
      <c r="N26" s="330" t="str">
        <f>VLOOKUP(MONTH(M26),A36:B47,2)</f>
        <v>Apr</v>
      </c>
      <c r="O26" s="342">
        <f>VLOOKUP(N26,C21:E32,3,FALSE)</f>
        <v>0.5</v>
      </c>
      <c r="P26" s="340">
        <f t="shared" si="0"/>
        <v>286.35000000000002</v>
      </c>
      <c r="Q26" s="342">
        <f>VLOOKUP(N26,C21:H32,6,FALSE)</f>
        <v>0.47499999999999998</v>
      </c>
      <c r="R26" s="340">
        <f t="shared" si="1"/>
        <v>273.53250000000003</v>
      </c>
      <c r="S26" s="327"/>
      <c r="T26" s="325"/>
      <c r="U26"/>
      <c r="V26"/>
      <c r="W26"/>
      <c r="X26"/>
    </row>
    <row r="27" spans="1:24" x14ac:dyDescent="0.25">
      <c r="A27" s="325"/>
      <c r="B27" s="362">
        <v>7</v>
      </c>
      <c r="C27" s="330" t="s">
        <v>523</v>
      </c>
      <c r="D27" s="327">
        <v>31</v>
      </c>
      <c r="E27" s="350">
        <v>0.1</v>
      </c>
      <c r="F27" s="351">
        <f t="shared" si="3"/>
        <v>3.1</v>
      </c>
      <c r="G27" s="327">
        <v>31</v>
      </c>
      <c r="H27" s="371">
        <f>E27-(E27*D12)</f>
        <v>9.5000000000000001E-2</v>
      </c>
      <c r="I27" s="351">
        <f t="shared" si="4"/>
        <v>2.9449999999999998</v>
      </c>
      <c r="J27" s="326"/>
      <c r="K27" s="325"/>
      <c r="L27" s="340">
        <v>17</v>
      </c>
      <c r="M27" s="341">
        <f t="shared" si="2"/>
        <v>43965</v>
      </c>
      <c r="N27" s="330" t="str">
        <f>VLOOKUP(MONTH(M27),A36:B47,2)</f>
        <v>May</v>
      </c>
      <c r="O27" s="342">
        <f>VLOOKUP(N27,C21:E32,3,FALSE)</f>
        <v>0.5</v>
      </c>
      <c r="P27" s="340">
        <f t="shared" si="0"/>
        <v>301.35000000000002</v>
      </c>
      <c r="Q27" s="342">
        <f>VLOOKUP(N27,C21:H32,6,FALSE)</f>
        <v>0.47499999999999998</v>
      </c>
      <c r="R27" s="340">
        <f t="shared" si="1"/>
        <v>287.78250000000003</v>
      </c>
      <c r="S27" s="327"/>
      <c r="T27" s="325"/>
      <c r="U27"/>
      <c r="V27"/>
      <c r="W27"/>
      <c r="X27"/>
    </row>
    <row r="28" spans="1:24" x14ac:dyDescent="0.25">
      <c r="A28" s="325"/>
      <c r="B28" s="362">
        <v>8</v>
      </c>
      <c r="C28" s="327" t="s">
        <v>524</v>
      </c>
      <c r="D28" s="327">
        <v>31</v>
      </c>
      <c r="E28" s="350">
        <v>0</v>
      </c>
      <c r="F28" s="351">
        <f t="shared" si="3"/>
        <v>0</v>
      </c>
      <c r="G28" s="327">
        <v>31</v>
      </c>
      <c r="H28" s="371">
        <f>E28-(E28*D12)</f>
        <v>0</v>
      </c>
      <c r="I28" s="351">
        <f t="shared" si="4"/>
        <v>0</v>
      </c>
      <c r="J28" s="326"/>
      <c r="K28" s="325"/>
      <c r="L28" s="340">
        <v>18</v>
      </c>
      <c r="M28" s="341">
        <f t="shared" si="2"/>
        <v>43996</v>
      </c>
      <c r="N28" s="330" t="str">
        <f>VLOOKUP(MONTH(M28),A36:B47,2)</f>
        <v>Jun</v>
      </c>
      <c r="O28" s="342">
        <f>VLOOKUP(N28,C21:E32,3,FALSE)</f>
        <v>0.2</v>
      </c>
      <c r="P28" s="340">
        <f t="shared" si="0"/>
        <v>307.55</v>
      </c>
      <c r="Q28" s="342">
        <f>VLOOKUP(N28,C21:H32,6,FALSE)</f>
        <v>0.19</v>
      </c>
      <c r="R28" s="340">
        <f t="shared" si="1"/>
        <v>293.67250000000001</v>
      </c>
      <c r="S28" s="327"/>
      <c r="T28" s="325"/>
      <c r="U28"/>
      <c r="V28"/>
      <c r="W28"/>
      <c r="X28"/>
    </row>
    <row r="29" spans="1:24" x14ac:dyDescent="0.25">
      <c r="A29" s="325"/>
      <c r="B29" s="362">
        <v>9</v>
      </c>
      <c r="C29" s="330" t="s">
        <v>525</v>
      </c>
      <c r="D29" s="327">
        <v>30</v>
      </c>
      <c r="E29" s="350">
        <v>0</v>
      </c>
      <c r="F29" s="351">
        <f t="shared" si="3"/>
        <v>0</v>
      </c>
      <c r="G29" s="327">
        <v>30</v>
      </c>
      <c r="H29" s="371">
        <f>E29-(E29*D12)</f>
        <v>0</v>
      </c>
      <c r="I29" s="351">
        <f t="shared" si="4"/>
        <v>0</v>
      </c>
      <c r="J29" s="326"/>
      <c r="K29" s="325"/>
      <c r="L29" s="340">
        <v>19</v>
      </c>
      <c r="M29" s="341">
        <f t="shared" si="2"/>
        <v>44026</v>
      </c>
      <c r="N29" s="330" t="str">
        <f>VLOOKUP(MONTH(M29),A36:B47,2)</f>
        <v>Jul</v>
      </c>
      <c r="O29" s="342">
        <f>VLOOKUP(N29,C21:E32,3,FALSE)</f>
        <v>0.1</v>
      </c>
      <c r="P29" s="340">
        <f t="shared" si="0"/>
        <v>310.55</v>
      </c>
      <c r="Q29" s="342">
        <f>VLOOKUP(N29,C21:H32,6,FALSE)</f>
        <v>9.5000000000000001E-2</v>
      </c>
      <c r="R29" s="340">
        <f t="shared" si="1"/>
        <v>296.52250000000004</v>
      </c>
      <c r="S29" s="327"/>
      <c r="T29" s="325"/>
      <c r="U29"/>
      <c r="V29"/>
      <c r="W29"/>
      <c r="X29"/>
    </row>
    <row r="30" spans="1:24" x14ac:dyDescent="0.25">
      <c r="A30" s="325"/>
      <c r="B30" s="362">
        <v>10</v>
      </c>
      <c r="C30" s="327" t="s">
        <v>526</v>
      </c>
      <c r="D30" s="327">
        <v>31</v>
      </c>
      <c r="E30" s="350">
        <v>0</v>
      </c>
      <c r="F30" s="351">
        <f t="shared" si="3"/>
        <v>0</v>
      </c>
      <c r="G30" s="327">
        <v>31</v>
      </c>
      <c r="H30" s="371">
        <f>E30-(E30*D12)</f>
        <v>0</v>
      </c>
      <c r="I30" s="351">
        <f t="shared" si="4"/>
        <v>0</v>
      </c>
      <c r="J30" s="326"/>
      <c r="K30" s="325"/>
      <c r="L30" s="340">
        <v>20</v>
      </c>
      <c r="M30" s="341">
        <f t="shared" si="2"/>
        <v>44057</v>
      </c>
      <c r="N30" s="330" t="str">
        <f>VLOOKUP(MONTH(M30),A36:B47,2)</f>
        <v>Aug</v>
      </c>
      <c r="O30" s="342">
        <f>VLOOKUP(N30,C21:E32,3,FALSE)</f>
        <v>0</v>
      </c>
      <c r="P30" s="340">
        <f t="shared" si="0"/>
        <v>310.55</v>
      </c>
      <c r="Q30" s="342">
        <f>VLOOKUP(N30,C21:H32,6,FALSE)</f>
        <v>0</v>
      </c>
      <c r="R30" s="340">
        <f t="shared" si="1"/>
        <v>296.52250000000004</v>
      </c>
      <c r="S30" s="327"/>
      <c r="T30" s="325"/>
      <c r="U30"/>
      <c r="V30"/>
      <c r="W30"/>
      <c r="X30"/>
    </row>
    <row r="31" spans="1:24" x14ac:dyDescent="0.25">
      <c r="A31" s="325"/>
      <c r="B31" s="362">
        <v>11</v>
      </c>
      <c r="C31" s="330" t="s">
        <v>527</v>
      </c>
      <c r="D31" s="327">
        <v>30</v>
      </c>
      <c r="E31" s="350">
        <v>0.15</v>
      </c>
      <c r="F31" s="351">
        <f t="shared" si="3"/>
        <v>4.5</v>
      </c>
      <c r="G31" s="327">
        <v>30</v>
      </c>
      <c r="H31" s="371">
        <f>E31-(E31*D12)</f>
        <v>0.14249999999999999</v>
      </c>
      <c r="I31" s="351">
        <f t="shared" si="4"/>
        <v>4.2749999999999995</v>
      </c>
      <c r="J31" s="326"/>
      <c r="K31" s="325"/>
      <c r="L31" s="340">
        <v>21</v>
      </c>
      <c r="M31" s="341">
        <f t="shared" si="2"/>
        <v>44088</v>
      </c>
      <c r="N31" s="330" t="str">
        <f>VLOOKUP(MONTH(M31),A36:B47,2)</f>
        <v>Sep</v>
      </c>
      <c r="O31" s="342">
        <f>VLOOKUP(N31,C21:E32,3,FALSE)</f>
        <v>0</v>
      </c>
      <c r="P31" s="340">
        <f t="shared" si="0"/>
        <v>310.55</v>
      </c>
      <c r="Q31" s="342">
        <f>VLOOKUP(N31,C21:H32,6,FALSE)</f>
        <v>0</v>
      </c>
      <c r="R31" s="340">
        <f t="shared" si="1"/>
        <v>296.52250000000004</v>
      </c>
      <c r="S31" s="327"/>
      <c r="T31" s="325"/>
      <c r="U31"/>
      <c r="V31"/>
      <c r="W31"/>
      <c r="X31"/>
    </row>
    <row r="32" spans="1:24" x14ac:dyDescent="0.25">
      <c r="A32" s="325"/>
      <c r="B32" s="362">
        <v>12</v>
      </c>
      <c r="C32" s="327" t="s">
        <v>528</v>
      </c>
      <c r="D32" s="327">
        <v>31</v>
      </c>
      <c r="E32" s="350">
        <v>0.4</v>
      </c>
      <c r="F32" s="351">
        <f t="shared" si="3"/>
        <v>12.4</v>
      </c>
      <c r="G32" s="327">
        <v>31</v>
      </c>
      <c r="H32" s="371">
        <f>E32-(E32*D12)</f>
        <v>0.38</v>
      </c>
      <c r="I32" s="351">
        <f t="shared" si="4"/>
        <v>11.78</v>
      </c>
      <c r="J32" s="326"/>
      <c r="K32" s="325"/>
      <c r="L32" s="340">
        <v>22</v>
      </c>
      <c r="M32" s="341">
        <f t="shared" si="2"/>
        <v>44118</v>
      </c>
      <c r="N32" s="330" t="str">
        <f>VLOOKUP(MONTH(M32),A36:B47,2)</f>
        <v>Oct</v>
      </c>
      <c r="O32" s="342">
        <f>VLOOKUP(N32,C21:E32,3,FALSE)</f>
        <v>0</v>
      </c>
      <c r="P32" s="340">
        <f t="shared" si="0"/>
        <v>310.55</v>
      </c>
      <c r="Q32" s="342">
        <f>VLOOKUP(N32,C21:H32,6,FALSE)</f>
        <v>0</v>
      </c>
      <c r="R32" s="340">
        <f t="shared" si="1"/>
        <v>296.52250000000004</v>
      </c>
      <c r="S32" s="327"/>
      <c r="T32" s="325"/>
      <c r="U32"/>
      <c r="V32"/>
      <c r="W32"/>
      <c r="X32"/>
    </row>
    <row r="33" spans="1:31" ht="13" thickBot="1" x14ac:dyDescent="0.3">
      <c r="A33" s="325"/>
      <c r="B33" s="325"/>
      <c r="C33" s="356" t="s">
        <v>529</v>
      </c>
      <c r="D33" s="356">
        <f>SUM(D21:D32)</f>
        <v>365</v>
      </c>
      <c r="E33" s="357">
        <f>F33/D33</f>
        <v>0.31041095890410958</v>
      </c>
      <c r="F33" s="358">
        <f>SUM(F21:F32)</f>
        <v>113.3</v>
      </c>
      <c r="G33" s="356">
        <f>SUM(G21:G32)</f>
        <v>365</v>
      </c>
      <c r="H33" s="357">
        <f>I33/G33</f>
        <v>0.29489041095890411</v>
      </c>
      <c r="I33" s="358">
        <f>SUM(I21:I32)</f>
        <v>107.63500000000001</v>
      </c>
      <c r="J33" s="326"/>
      <c r="K33" s="325"/>
      <c r="L33" s="340">
        <v>23</v>
      </c>
      <c r="M33" s="341">
        <f t="shared" si="2"/>
        <v>44149</v>
      </c>
      <c r="N33" s="330" t="str">
        <f>VLOOKUP(MONTH(M33),A36:B47,2)</f>
        <v>Nov</v>
      </c>
      <c r="O33" s="342">
        <f>VLOOKUP(N33,C21:E32,3,FALSE)</f>
        <v>0.15</v>
      </c>
      <c r="P33" s="340">
        <f t="shared" si="0"/>
        <v>315.2</v>
      </c>
      <c r="Q33" s="342">
        <f>VLOOKUP(N33,C21:H32,6,FALSE)</f>
        <v>0.14249999999999999</v>
      </c>
      <c r="R33" s="340">
        <f t="shared" si="1"/>
        <v>300.94000000000005</v>
      </c>
      <c r="S33" s="327"/>
      <c r="T33" s="325"/>
      <c r="U33"/>
      <c r="V33"/>
      <c r="W33"/>
      <c r="X33"/>
    </row>
    <row r="34" spans="1:31" ht="13" thickTop="1" x14ac:dyDescent="0.25">
      <c r="A34" s="325"/>
      <c r="B34" s="325"/>
      <c r="C34" s="325"/>
      <c r="D34" s="325"/>
      <c r="E34" s="325"/>
      <c r="F34" s="325"/>
      <c r="G34" s="325"/>
      <c r="H34" s="325"/>
      <c r="I34" s="325"/>
      <c r="J34" s="326"/>
      <c r="K34" s="325"/>
      <c r="L34" s="352">
        <v>24</v>
      </c>
      <c r="M34" s="353">
        <f t="shared" si="2"/>
        <v>44179</v>
      </c>
      <c r="N34" s="354" t="str">
        <f>VLOOKUP(MONTH(M34),A36:B47,2)</f>
        <v>Dec</v>
      </c>
      <c r="O34" s="355">
        <f>VLOOKUP(N34,C21:E32,3,FALSE)</f>
        <v>0.4</v>
      </c>
      <c r="P34" s="352">
        <f t="shared" si="0"/>
        <v>327.2</v>
      </c>
      <c r="Q34" s="355">
        <f>VLOOKUP(N34,C21:H32,6,FALSE)</f>
        <v>0.38</v>
      </c>
      <c r="R34" s="352">
        <f t="shared" si="1"/>
        <v>312.34000000000003</v>
      </c>
      <c r="S34" s="327"/>
      <c r="T34" s="340"/>
      <c r="U34"/>
      <c r="X34"/>
      <c r="Y34"/>
      <c r="Z34"/>
      <c r="AA34"/>
      <c r="AB34"/>
      <c r="AC34"/>
      <c r="AD34"/>
      <c r="AE34" s="585"/>
    </row>
    <row r="35" spans="1:31" x14ac:dyDescent="0.25">
      <c r="A35" s="325"/>
      <c r="B35" s="325"/>
      <c r="C35" s="325"/>
      <c r="D35" s="325"/>
      <c r="E35" s="325"/>
      <c r="F35" s="325"/>
      <c r="G35" s="325"/>
      <c r="H35" s="325"/>
      <c r="I35" s="325"/>
      <c r="J35" s="326"/>
      <c r="K35" s="325"/>
      <c r="L35" s="340">
        <v>25</v>
      </c>
      <c r="M35" s="341">
        <f t="shared" si="2"/>
        <v>44210</v>
      </c>
      <c r="N35" s="330" t="str">
        <f>VLOOKUP(MONTH(M35),A36:B47,2)</f>
        <v>Jan</v>
      </c>
      <c r="O35" s="342">
        <f>VLOOKUP(N35,C21:E32,3,FALSE)</f>
        <v>0.7</v>
      </c>
      <c r="P35" s="340">
        <f t="shared" si="0"/>
        <v>348.9</v>
      </c>
      <c r="Q35" s="342">
        <f>VLOOKUP(N35,C21:H32,6,FALSE)</f>
        <v>0.66499999999999992</v>
      </c>
      <c r="R35" s="340">
        <f t="shared" si="1"/>
        <v>332.95500000000004</v>
      </c>
      <c r="S35" s="359"/>
      <c r="T35" s="340"/>
      <c r="U35"/>
      <c r="X35"/>
      <c r="Y35"/>
      <c r="Z35"/>
      <c r="AA35"/>
      <c r="AB35"/>
      <c r="AC35"/>
      <c r="AD35"/>
      <c r="AE35" s="585"/>
    </row>
    <row r="36" spans="1:31" x14ac:dyDescent="0.25">
      <c r="A36" s="325">
        <v>1</v>
      </c>
      <c r="B36" s="325" t="s">
        <v>517</v>
      </c>
      <c r="C36" s="325"/>
      <c r="D36" s="325"/>
      <c r="E36" s="325"/>
      <c r="F36" s="325"/>
      <c r="G36" s="325"/>
      <c r="H36" s="325"/>
      <c r="I36" s="325"/>
      <c r="J36" s="326"/>
      <c r="K36" s="325"/>
      <c r="L36" s="340">
        <v>26</v>
      </c>
      <c r="M36" s="341">
        <f t="shared" si="2"/>
        <v>44241</v>
      </c>
      <c r="N36" s="330" t="str">
        <f>VLOOKUP(MONTH(M36),A36:B47,2)</f>
        <v>Feb</v>
      </c>
      <c r="O36" s="342">
        <f>VLOOKUP(N36,C21:E32,3,FALSE)</f>
        <v>0.7</v>
      </c>
      <c r="P36" s="340">
        <f t="shared" si="0"/>
        <v>370.59999999999997</v>
      </c>
      <c r="Q36" s="342">
        <f>VLOOKUP(N36,C21:H32,6,FALSE)</f>
        <v>0.66499999999999992</v>
      </c>
      <c r="R36" s="340">
        <f t="shared" si="1"/>
        <v>353.57000000000005</v>
      </c>
      <c r="S36" s="359"/>
      <c r="T36"/>
      <c r="X36" s="585" t="s">
        <v>672</v>
      </c>
      <c r="Y36" s="585"/>
      <c r="Z36" s="585"/>
      <c r="AA36" s="586">
        <v>415</v>
      </c>
      <c r="AB36" s="585"/>
      <c r="AC36" s="585" t="s">
        <v>673</v>
      </c>
      <c r="AD36" s="586">
        <v>320</v>
      </c>
      <c r="AE36" s="585"/>
    </row>
    <row r="37" spans="1:31" x14ac:dyDescent="0.25">
      <c r="A37" s="325">
        <v>2</v>
      </c>
      <c r="B37" s="325" t="s">
        <v>518</v>
      </c>
      <c r="C37" s="325"/>
      <c r="D37" s="325"/>
      <c r="E37" s="325"/>
      <c r="F37" s="326"/>
      <c r="G37" s="326"/>
      <c r="H37" s="326"/>
      <c r="I37" s="326"/>
      <c r="J37" s="326"/>
      <c r="K37" s="325"/>
      <c r="L37" s="340">
        <v>27</v>
      </c>
      <c r="M37" s="341">
        <f t="shared" si="2"/>
        <v>44269</v>
      </c>
      <c r="N37" s="330" t="str">
        <f>VLOOKUP(MONTH(M37),A36:B47,2)</f>
        <v>Mar</v>
      </c>
      <c r="O37" s="342">
        <f>VLOOKUP(N37,C21:E32,3,FALSE)</f>
        <v>0.5</v>
      </c>
      <c r="P37" s="340">
        <f>P36+(O37*(M37-M36))</f>
        <v>384.59999999999997</v>
      </c>
      <c r="Q37" s="342">
        <f>VLOOKUP(N37,C21:H32,6,FALSE)</f>
        <v>0.47499999999999998</v>
      </c>
      <c r="R37" s="340">
        <f t="shared" si="1"/>
        <v>366.87000000000006</v>
      </c>
      <c r="S37" s="359"/>
      <c r="T37"/>
      <c r="U37" s="587"/>
      <c r="X37" s="585" t="s">
        <v>674</v>
      </c>
      <c r="Y37" s="585"/>
      <c r="Z37" s="585"/>
      <c r="AA37" s="588">
        <v>50</v>
      </c>
      <c r="AB37" s="585"/>
      <c r="AC37" s="585" t="s">
        <v>675</v>
      </c>
      <c r="AD37" s="589">
        <v>0.97</v>
      </c>
      <c r="AE37" s="585"/>
    </row>
    <row r="38" spans="1:31" x14ac:dyDescent="0.25">
      <c r="A38" s="325">
        <v>3</v>
      </c>
      <c r="B38" s="325" t="s">
        <v>519</v>
      </c>
      <c r="C38" s="325"/>
      <c r="D38" s="325"/>
      <c r="E38" s="325"/>
      <c r="F38" s="325"/>
      <c r="G38" s="360"/>
      <c r="H38" s="360"/>
      <c r="I38" s="360"/>
      <c r="J38" s="326"/>
      <c r="K38" s="325"/>
      <c r="L38" s="340">
        <v>28</v>
      </c>
      <c r="M38" s="341">
        <f t="shared" si="2"/>
        <v>44300</v>
      </c>
      <c r="N38" s="330" t="str">
        <f>VLOOKUP(MONTH(M38),A36:B47,2)</f>
        <v>Apr</v>
      </c>
      <c r="O38" s="342">
        <f>VLOOKUP(N38,C21:E32,3,FALSE)</f>
        <v>0.5</v>
      </c>
      <c r="P38" s="340">
        <f t="shared" si="0"/>
        <v>400.09999999999997</v>
      </c>
      <c r="Q38" s="342">
        <f>VLOOKUP(N38,C21:H32,6,FALSE)</f>
        <v>0.47499999999999998</v>
      </c>
      <c r="R38" s="340">
        <f t="shared" si="1"/>
        <v>381.59500000000008</v>
      </c>
      <c r="S38" s="359"/>
      <c r="T38"/>
      <c r="U38"/>
      <c r="X38" s="585"/>
      <c r="Y38" s="585"/>
      <c r="Z38" s="585"/>
      <c r="AA38" s="590"/>
      <c r="AB38" s="585"/>
      <c r="AC38" s="585" t="s">
        <v>676</v>
      </c>
      <c r="AD38" s="591">
        <v>418</v>
      </c>
      <c r="AE38" s="585"/>
    </row>
    <row r="39" spans="1:31" x14ac:dyDescent="0.25">
      <c r="A39" s="325">
        <v>4</v>
      </c>
      <c r="B39" s="325" t="s">
        <v>520</v>
      </c>
      <c r="C39" s="325"/>
      <c r="D39" s="325"/>
      <c r="E39" s="325"/>
      <c r="F39" s="325"/>
      <c r="G39" s="351"/>
      <c r="H39" s="351"/>
      <c r="I39" s="351"/>
      <c r="J39" s="326"/>
      <c r="K39" s="325"/>
      <c r="L39" s="340">
        <v>29</v>
      </c>
      <c r="M39" s="341">
        <f t="shared" si="2"/>
        <v>44330</v>
      </c>
      <c r="N39" s="330" t="str">
        <f>VLOOKUP(MONTH(M39),A36:B47,2)</f>
        <v>May</v>
      </c>
      <c r="O39" s="342">
        <f>VLOOKUP(N39,C21:E32,3,FALSE)</f>
        <v>0.5</v>
      </c>
      <c r="P39" s="550">
        <f t="shared" si="0"/>
        <v>415.09999999999997</v>
      </c>
      <c r="Q39" s="342">
        <f>VLOOKUP(N39,C21:H32,6,FALSE)</f>
        <v>0.47499999999999998</v>
      </c>
      <c r="R39" s="340">
        <f t="shared" si="1"/>
        <v>395.84500000000008</v>
      </c>
      <c r="S39" s="359"/>
      <c r="T39" s="372">
        <v>300</v>
      </c>
      <c r="U39" t="s">
        <v>677</v>
      </c>
      <c r="X39" s="585" t="s">
        <v>678</v>
      </c>
      <c r="Y39" s="585"/>
      <c r="Z39" s="585"/>
      <c r="AA39" s="585"/>
      <c r="AB39" s="585"/>
      <c r="AC39" s="585"/>
      <c r="AD39" s="592"/>
      <c r="AE39" s="585"/>
    </row>
    <row r="40" spans="1:31" x14ac:dyDescent="0.25">
      <c r="A40" s="325">
        <v>5</v>
      </c>
      <c r="B40" s="325" t="s">
        <v>521</v>
      </c>
      <c r="C40" s="325"/>
      <c r="D40" s="325"/>
      <c r="E40" s="325"/>
      <c r="F40" s="325"/>
      <c r="G40" s="351"/>
      <c r="H40" s="351"/>
      <c r="I40" s="351"/>
      <c r="J40" s="326"/>
      <c r="K40" s="325"/>
      <c r="L40" s="340">
        <v>30</v>
      </c>
      <c r="M40" s="341">
        <f t="shared" si="2"/>
        <v>44361</v>
      </c>
      <c r="N40" s="330" t="str">
        <f>VLOOKUP(MONTH(M40),A36:B47,2)</f>
        <v>Jun</v>
      </c>
      <c r="O40" s="342">
        <f>VLOOKUP(N40,C21:E32,3,FALSE)</f>
        <v>0.2</v>
      </c>
      <c r="P40" s="340">
        <f t="shared" si="0"/>
        <v>421.29999999999995</v>
      </c>
      <c r="Q40" s="342">
        <f>VLOOKUP(N40,C21:H32,6,FALSE)</f>
        <v>0.19</v>
      </c>
      <c r="R40" s="340">
        <f t="shared" si="1"/>
        <v>401.73500000000007</v>
      </c>
      <c r="S40" s="340"/>
      <c r="T40" s="349">
        <f t="shared" ref="T40:T58" si="5">T39+(O40*(M40-M39))</f>
        <v>306.2</v>
      </c>
      <c r="X40" s="585" t="s">
        <v>679</v>
      </c>
      <c r="Y40" s="592">
        <f>AA36-(1.96*AA37)</f>
        <v>317</v>
      </c>
      <c r="Z40" s="593" t="s">
        <v>680</v>
      </c>
      <c r="AA40" s="592">
        <f>AA36+(1.96*AA37)</f>
        <v>513</v>
      </c>
      <c r="AB40" s="585" t="s">
        <v>681</v>
      </c>
      <c r="AC40" s="585" t="s">
        <v>682</v>
      </c>
      <c r="AD40" s="594">
        <v>300</v>
      </c>
      <c r="AE40" s="585"/>
    </row>
    <row r="41" spans="1:31" x14ac:dyDescent="0.25">
      <c r="A41" s="325">
        <v>6</v>
      </c>
      <c r="B41" s="325" t="s">
        <v>522</v>
      </c>
      <c r="C41" s="325"/>
      <c r="D41" s="325"/>
      <c r="E41" s="325"/>
      <c r="F41" s="325"/>
      <c r="G41" s="351"/>
      <c r="H41" s="351"/>
      <c r="I41" s="351"/>
      <c r="J41" s="326"/>
      <c r="K41" s="325"/>
      <c r="L41" s="340">
        <v>31</v>
      </c>
      <c r="M41" s="341">
        <f t="shared" si="2"/>
        <v>44391</v>
      </c>
      <c r="N41" s="330" t="str">
        <f>VLOOKUP(MONTH(M41),A36:B47,2)</f>
        <v>Jul</v>
      </c>
      <c r="O41" s="342">
        <f>VLOOKUP(N41,C21:E32,3,FALSE)</f>
        <v>0.1</v>
      </c>
      <c r="P41" s="340">
        <f t="shared" si="0"/>
        <v>424.29999999999995</v>
      </c>
      <c r="Q41" s="342">
        <f>VLOOKUP(N41,C21:H32,6,FALSE)</f>
        <v>9.5000000000000001E-2</v>
      </c>
      <c r="R41" s="340">
        <f t="shared" si="1"/>
        <v>404.58500000000009</v>
      </c>
      <c r="S41" s="359"/>
      <c r="T41" s="349">
        <f t="shared" si="5"/>
        <v>309.2</v>
      </c>
      <c r="X41" s="585"/>
      <c r="Y41" s="585"/>
      <c r="Z41" s="585"/>
      <c r="AA41" s="585"/>
      <c r="AB41" s="585"/>
      <c r="AC41" s="585" t="s">
        <v>683</v>
      </c>
      <c r="AD41" s="595">
        <v>114</v>
      </c>
      <c r="AE41" s="585"/>
    </row>
    <row r="42" spans="1:31" x14ac:dyDescent="0.25">
      <c r="A42" s="325">
        <v>7</v>
      </c>
      <c r="B42" s="325" t="s">
        <v>523</v>
      </c>
      <c r="C42" s="325"/>
      <c r="D42" s="325"/>
      <c r="E42" s="325"/>
      <c r="F42" s="325"/>
      <c r="G42" s="351"/>
      <c r="H42" s="351"/>
      <c r="I42" s="351"/>
      <c r="J42" s="326"/>
      <c r="K42" s="325"/>
      <c r="L42" s="340">
        <v>32</v>
      </c>
      <c r="M42" s="341">
        <f t="shared" si="2"/>
        <v>44422</v>
      </c>
      <c r="N42" s="330" t="str">
        <f>VLOOKUP(MONTH(M42),A36:B47,2)</f>
        <v>Aug</v>
      </c>
      <c r="O42" s="342">
        <f>VLOOKUP(N42,C21:E32,3,FALSE)</f>
        <v>0</v>
      </c>
      <c r="P42" s="340">
        <f t="shared" si="0"/>
        <v>424.29999999999995</v>
      </c>
      <c r="Q42" s="342">
        <f>VLOOKUP(N42,C21:H32,6,FALSE)</f>
        <v>0</v>
      </c>
      <c r="R42" s="340">
        <f t="shared" si="1"/>
        <v>404.58500000000009</v>
      </c>
      <c r="S42" s="359"/>
      <c r="T42" s="349">
        <f t="shared" si="5"/>
        <v>309.2</v>
      </c>
      <c r="X42" s="585"/>
      <c r="Y42" s="585"/>
      <c r="Z42" s="585"/>
      <c r="AA42" s="585"/>
      <c r="AB42" s="585"/>
      <c r="AC42" s="585" t="s">
        <v>684</v>
      </c>
      <c r="AD42" s="591">
        <v>414</v>
      </c>
      <c r="AE42" s="585"/>
    </row>
    <row r="43" spans="1:31" x14ac:dyDescent="0.25">
      <c r="A43" s="325">
        <v>8</v>
      </c>
      <c r="B43" s="325" t="s">
        <v>524</v>
      </c>
      <c r="C43" s="325"/>
      <c r="D43" s="325"/>
      <c r="E43" s="325"/>
      <c r="F43" s="325"/>
      <c r="G43" s="351"/>
      <c r="H43" s="351"/>
      <c r="I43" s="351"/>
      <c r="J43" s="326"/>
      <c r="K43" s="325"/>
      <c r="L43" s="340">
        <v>33</v>
      </c>
      <c r="M43" s="341">
        <f t="shared" si="2"/>
        <v>44453</v>
      </c>
      <c r="N43" s="330" t="str">
        <f>VLOOKUP(MONTH(M43),A36:B47,2)</f>
        <v>Sep</v>
      </c>
      <c r="O43" s="342">
        <f>VLOOKUP(N43,C21:E32,3,FALSE)</f>
        <v>0</v>
      </c>
      <c r="P43" s="340">
        <f t="shared" si="0"/>
        <v>424.29999999999995</v>
      </c>
      <c r="Q43" s="342">
        <f>VLOOKUP(N43,C21:H32,6,FALSE)</f>
        <v>0</v>
      </c>
      <c r="R43" s="340">
        <f t="shared" si="1"/>
        <v>404.58500000000009</v>
      </c>
      <c r="S43" s="359"/>
      <c r="T43" s="349">
        <f t="shared" si="5"/>
        <v>309.2</v>
      </c>
      <c r="X43"/>
      <c r="Y43"/>
      <c r="Z43"/>
      <c r="AA43"/>
      <c r="AB43"/>
      <c r="AC43"/>
      <c r="AD43"/>
    </row>
    <row r="44" spans="1:31" x14ac:dyDescent="0.25">
      <c r="A44" s="325">
        <v>9</v>
      </c>
      <c r="B44" s="325" t="s">
        <v>525</v>
      </c>
      <c r="C44" s="325"/>
      <c r="D44" s="325"/>
      <c r="E44" s="325"/>
      <c r="F44" s="325"/>
      <c r="G44" s="351"/>
      <c r="H44" s="351"/>
      <c r="I44" s="351"/>
      <c r="J44" s="326"/>
      <c r="K44" s="325"/>
      <c r="L44" s="340">
        <v>34</v>
      </c>
      <c r="M44" s="341">
        <f t="shared" si="2"/>
        <v>44483</v>
      </c>
      <c r="N44" s="330" t="str">
        <f>VLOOKUP(MONTH(M44),A36:B47,2)</f>
        <v>Oct</v>
      </c>
      <c r="O44" s="342">
        <f>VLOOKUP(N44,C21:E32,3,FALSE)</f>
        <v>0</v>
      </c>
      <c r="P44" s="340">
        <f t="shared" si="0"/>
        <v>424.29999999999995</v>
      </c>
      <c r="Q44" s="342">
        <f>VLOOKUP(N44,C21:H32,6,FALSE)</f>
        <v>0</v>
      </c>
      <c r="R44" s="340">
        <f t="shared" si="1"/>
        <v>404.58500000000009</v>
      </c>
      <c r="S44" s="359"/>
      <c r="T44" s="349">
        <f t="shared" si="5"/>
        <v>309.2</v>
      </c>
      <c r="X44"/>
      <c r="Y44"/>
      <c r="Z44"/>
      <c r="AA44"/>
      <c r="AB44"/>
      <c r="AC44"/>
      <c r="AD44"/>
    </row>
    <row r="45" spans="1:31" x14ac:dyDescent="0.25">
      <c r="A45" s="325">
        <v>10</v>
      </c>
      <c r="B45" s="325" t="s">
        <v>526</v>
      </c>
      <c r="C45" s="325"/>
      <c r="D45" s="325"/>
      <c r="E45" s="325"/>
      <c r="F45" s="325"/>
      <c r="G45" s="351"/>
      <c r="H45" s="351"/>
      <c r="I45" s="351"/>
      <c r="J45" s="326"/>
      <c r="K45" s="325"/>
      <c r="L45" s="340">
        <v>35</v>
      </c>
      <c r="M45" s="341">
        <f t="shared" si="2"/>
        <v>44514</v>
      </c>
      <c r="N45" s="330" t="str">
        <f>VLOOKUP(MONTH(M45),A36:B47,2)</f>
        <v>Nov</v>
      </c>
      <c r="O45" s="342">
        <f>VLOOKUP(N45,C21:E32,3,FALSE)</f>
        <v>0.15</v>
      </c>
      <c r="P45" s="340">
        <f t="shared" si="0"/>
        <v>428.94999999999993</v>
      </c>
      <c r="Q45" s="342">
        <f>VLOOKUP(N45,C21:H32,6,FALSE)</f>
        <v>0.14249999999999999</v>
      </c>
      <c r="R45" s="340">
        <f t="shared" si="1"/>
        <v>409.00250000000011</v>
      </c>
      <c r="S45" s="359"/>
      <c r="T45" s="349">
        <f t="shared" si="5"/>
        <v>313.84999999999997</v>
      </c>
      <c r="X45"/>
      <c r="Y45"/>
      <c r="Z45"/>
      <c r="AA45"/>
      <c r="AB45"/>
      <c r="AC45"/>
      <c r="AD45"/>
    </row>
    <row r="46" spans="1:31" x14ac:dyDescent="0.25">
      <c r="A46" s="325">
        <v>11</v>
      </c>
      <c r="B46" s="325" t="s">
        <v>527</v>
      </c>
      <c r="C46" s="325"/>
      <c r="D46" s="325"/>
      <c r="E46" s="325"/>
      <c r="F46" s="325"/>
      <c r="G46" s="351"/>
      <c r="H46" s="351"/>
      <c r="I46" s="351"/>
      <c r="J46" s="326"/>
      <c r="K46" s="325"/>
      <c r="L46" s="352">
        <v>36</v>
      </c>
      <c r="M46" s="353">
        <f t="shared" si="2"/>
        <v>44544</v>
      </c>
      <c r="N46" s="354" t="str">
        <f>VLOOKUP(MONTH(M46),A36:B47,2)</f>
        <v>Dec</v>
      </c>
      <c r="O46" s="355">
        <f>VLOOKUP(N46,C21:E32,3,FALSE)</f>
        <v>0.4</v>
      </c>
      <c r="P46" s="352">
        <f t="shared" si="0"/>
        <v>440.94999999999993</v>
      </c>
      <c r="Q46" s="355">
        <f>VLOOKUP(N46,C21:H32,6,FALSE)</f>
        <v>0.38</v>
      </c>
      <c r="R46" s="352">
        <f t="shared" si="1"/>
        <v>420.40250000000009</v>
      </c>
      <c r="S46" s="359"/>
      <c r="T46" s="349">
        <f t="shared" si="5"/>
        <v>325.84999999999997</v>
      </c>
      <c r="X46"/>
      <c r="Y46"/>
      <c r="Z46"/>
      <c r="AA46"/>
      <c r="AB46"/>
      <c r="AC46"/>
      <c r="AD46"/>
    </row>
    <row r="47" spans="1:31" x14ac:dyDescent="0.25">
      <c r="A47" s="325">
        <v>12</v>
      </c>
      <c r="B47" s="325" t="s">
        <v>528</v>
      </c>
      <c r="C47" s="325"/>
      <c r="D47" s="325"/>
      <c r="E47" s="325"/>
      <c r="F47" s="325"/>
      <c r="G47" s="351"/>
      <c r="H47" s="351"/>
      <c r="I47" s="351"/>
      <c r="J47" s="326"/>
      <c r="K47" s="325"/>
      <c r="L47" s="340">
        <v>37</v>
      </c>
      <c r="M47" s="341">
        <f t="shared" si="2"/>
        <v>44575</v>
      </c>
      <c r="N47" s="330" t="str">
        <f>VLOOKUP(MONTH(M47),A36:B47,2)</f>
        <v>Jan</v>
      </c>
      <c r="O47" s="342">
        <f>VLOOKUP(N47,C21:E32,3,FALSE)</f>
        <v>0.7</v>
      </c>
      <c r="P47" s="340">
        <f t="shared" si="0"/>
        <v>462.64999999999992</v>
      </c>
      <c r="Q47" s="325"/>
      <c r="R47" s="325"/>
      <c r="S47" s="359"/>
      <c r="T47" s="349">
        <f t="shared" si="5"/>
        <v>347.54999999999995</v>
      </c>
      <c r="U47" s="596"/>
      <c r="X47"/>
      <c r="Y47"/>
      <c r="Z47"/>
      <c r="AA47"/>
      <c r="AB47"/>
      <c r="AC47"/>
      <c r="AD47"/>
    </row>
    <row r="48" spans="1:31" x14ac:dyDescent="0.25">
      <c r="A48" s="325"/>
      <c r="B48" s="325"/>
      <c r="C48" s="327"/>
      <c r="D48" s="325"/>
      <c r="E48" s="325"/>
      <c r="F48" s="325"/>
      <c r="G48" s="351"/>
      <c r="H48" s="351"/>
      <c r="I48" s="351"/>
      <c r="J48" s="326"/>
      <c r="K48" s="325"/>
      <c r="L48" s="340">
        <v>38</v>
      </c>
      <c r="M48" s="341">
        <f t="shared" si="2"/>
        <v>44606</v>
      </c>
      <c r="N48" s="330" t="str">
        <f>VLOOKUP(MONTH(M48),A36:B47,2)</f>
        <v>Feb</v>
      </c>
      <c r="O48" s="342">
        <f>VLOOKUP(N48,C21:E32,3,FALSE)</f>
        <v>0.7</v>
      </c>
      <c r="P48" s="340">
        <f t="shared" si="0"/>
        <v>484.34999999999991</v>
      </c>
      <c r="Q48" s="325"/>
      <c r="R48" s="325"/>
      <c r="S48" s="327"/>
      <c r="T48" s="349">
        <f t="shared" si="5"/>
        <v>369.24999999999994</v>
      </c>
      <c r="X48"/>
      <c r="Y48"/>
      <c r="Z48"/>
      <c r="AA48"/>
      <c r="AB48"/>
      <c r="AC48"/>
      <c r="AD48"/>
    </row>
    <row r="49" spans="1:31" x14ac:dyDescent="0.25">
      <c r="A49" s="325"/>
      <c r="B49" s="325"/>
      <c r="C49" s="330"/>
      <c r="D49" s="325"/>
      <c r="E49" s="325"/>
      <c r="F49" s="325"/>
      <c r="G49" s="351"/>
      <c r="H49" s="351"/>
      <c r="I49" s="351"/>
      <c r="J49" s="326"/>
      <c r="K49" s="325"/>
      <c r="L49" s="340">
        <v>39</v>
      </c>
      <c r="M49" s="341">
        <f t="shared" si="2"/>
        <v>44634</v>
      </c>
      <c r="N49" s="330" t="str">
        <f>VLOOKUP(MONTH(M49),A36:B47,2)</f>
        <v>Mar</v>
      </c>
      <c r="O49" s="342">
        <f>VLOOKUP(N49,C21:E32,3,FALSE)</f>
        <v>0.5</v>
      </c>
      <c r="P49" s="340">
        <f t="shared" si="0"/>
        <v>498.34999999999991</v>
      </c>
      <c r="Q49" s="325"/>
      <c r="R49" s="325"/>
      <c r="S49" s="327"/>
      <c r="T49" s="349">
        <f t="shared" si="5"/>
        <v>383.24999999999994</v>
      </c>
      <c r="X49"/>
      <c r="Y49"/>
      <c r="Z49"/>
      <c r="AA49"/>
      <c r="AB49"/>
      <c r="AC49"/>
      <c r="AD49"/>
    </row>
    <row r="50" spans="1:31" x14ac:dyDescent="0.25">
      <c r="A50" s="325"/>
      <c r="B50" s="325"/>
      <c r="C50" s="327"/>
      <c r="D50" s="325"/>
      <c r="E50" s="325"/>
      <c r="F50" s="325"/>
      <c r="G50" s="351"/>
      <c r="H50" s="351"/>
      <c r="I50" s="351"/>
      <c r="J50" s="326"/>
      <c r="K50" s="325"/>
      <c r="L50" s="340">
        <v>40</v>
      </c>
      <c r="M50" s="341">
        <f t="shared" si="2"/>
        <v>44665</v>
      </c>
      <c r="N50" s="330" t="str">
        <f>VLOOKUP(MONTH(M50),A36:B47,2)</f>
        <v>Apr</v>
      </c>
      <c r="O50" s="342">
        <f>VLOOKUP(N50,C21:E32,3,FALSE)</f>
        <v>0.5</v>
      </c>
      <c r="P50" s="340">
        <f t="shared" si="0"/>
        <v>513.84999999999991</v>
      </c>
      <c r="Q50" s="325"/>
      <c r="R50" s="325"/>
      <c r="S50" s="327"/>
      <c r="T50" s="349">
        <f t="shared" si="5"/>
        <v>398.74999999999994</v>
      </c>
      <c r="X50"/>
      <c r="Y50"/>
      <c r="Z50"/>
      <c r="AA50"/>
      <c r="AB50"/>
      <c r="AC50"/>
      <c r="AD50"/>
    </row>
    <row r="51" spans="1:31" x14ac:dyDescent="0.25">
      <c r="A51" s="325"/>
      <c r="B51" s="325"/>
      <c r="C51" s="325"/>
      <c r="D51" s="325"/>
      <c r="E51" s="325"/>
      <c r="F51" s="325"/>
      <c r="G51" s="361"/>
      <c r="H51" s="361"/>
      <c r="I51" s="361"/>
      <c r="J51" s="326"/>
      <c r="K51" s="325"/>
      <c r="L51" s="340">
        <v>41</v>
      </c>
      <c r="M51" s="341">
        <f t="shared" si="2"/>
        <v>44695</v>
      </c>
      <c r="N51" s="330" t="str">
        <f>VLOOKUP(MONTH(M51),A36:B47,2)</f>
        <v>May</v>
      </c>
      <c r="O51" s="342">
        <f>VLOOKUP(N51,C21:E32,3,FALSE)</f>
        <v>0.5</v>
      </c>
      <c r="P51" s="340">
        <f t="shared" si="0"/>
        <v>528.84999999999991</v>
      </c>
      <c r="Q51" s="325"/>
      <c r="R51" s="325"/>
      <c r="S51" s="327"/>
      <c r="T51" s="550">
        <f t="shared" si="5"/>
        <v>413.74999999999994</v>
      </c>
      <c r="U51" s="587">
        <f>T51-T39</f>
        <v>113.74999999999994</v>
      </c>
      <c r="X51"/>
      <c r="Y51"/>
      <c r="Z51"/>
      <c r="AA51"/>
      <c r="AB51"/>
      <c r="AC51"/>
      <c r="AD51"/>
      <c r="AE51" s="585"/>
    </row>
    <row r="52" spans="1:31" x14ac:dyDescent="0.25">
      <c r="A52" s="325"/>
      <c r="B52" s="325"/>
      <c r="C52" s="325"/>
      <c r="D52" s="325"/>
      <c r="E52" s="325"/>
      <c r="F52" s="325"/>
      <c r="G52" s="325"/>
      <c r="H52" s="325"/>
      <c r="I52" s="325"/>
      <c r="J52" s="326"/>
      <c r="K52" s="325"/>
      <c r="L52" s="340">
        <v>42</v>
      </c>
      <c r="M52" s="341">
        <f t="shared" si="2"/>
        <v>44726</v>
      </c>
      <c r="N52" s="330" t="str">
        <f>VLOOKUP(MONTH(M52),A36:B47,2)</f>
        <v>Jun</v>
      </c>
      <c r="O52" s="342">
        <f>VLOOKUP(N52,C21:E32,3,FALSE)</f>
        <v>0.2</v>
      </c>
      <c r="P52" s="340">
        <f t="shared" si="0"/>
        <v>535.04999999999995</v>
      </c>
      <c r="Q52" s="325"/>
      <c r="R52" s="325"/>
      <c r="S52" s="327"/>
      <c r="T52" s="349">
        <f t="shared" si="5"/>
        <v>419.94999999999993</v>
      </c>
      <c r="U52"/>
      <c r="X52"/>
      <c r="Y52"/>
      <c r="Z52"/>
      <c r="AA52"/>
      <c r="AB52"/>
      <c r="AC52"/>
      <c r="AD52"/>
      <c r="AE52" s="585"/>
    </row>
    <row r="53" spans="1:31" x14ac:dyDescent="0.25">
      <c r="A53" s="325"/>
      <c r="B53" s="325"/>
      <c r="C53" s="325"/>
      <c r="D53" s="325"/>
      <c r="E53" s="325"/>
      <c r="F53" s="325"/>
      <c r="G53" s="325"/>
      <c r="H53" s="325"/>
      <c r="I53" s="325"/>
      <c r="J53" s="326"/>
      <c r="K53" s="325"/>
      <c r="L53" s="340">
        <v>43</v>
      </c>
      <c r="M53" s="341">
        <f t="shared" si="2"/>
        <v>44756</v>
      </c>
      <c r="N53" s="330" t="str">
        <f>VLOOKUP(MONTH(M53),A36:B47,2)</f>
        <v>Jul</v>
      </c>
      <c r="O53" s="342">
        <f>VLOOKUP(N53,C21:E32,3,FALSE)</f>
        <v>0.1</v>
      </c>
      <c r="P53" s="340">
        <f t="shared" si="0"/>
        <v>538.04999999999995</v>
      </c>
      <c r="Q53" s="325"/>
      <c r="R53" s="325"/>
      <c r="S53" s="327"/>
      <c r="T53" s="349">
        <f t="shared" si="5"/>
        <v>422.94999999999993</v>
      </c>
      <c r="U53"/>
      <c r="X53"/>
      <c r="Y53"/>
      <c r="Z53"/>
      <c r="AA53"/>
      <c r="AB53"/>
      <c r="AC53"/>
      <c r="AD53"/>
      <c r="AE53" s="585"/>
    </row>
    <row r="54" spans="1:31" x14ac:dyDescent="0.25">
      <c r="A54" s="325"/>
      <c r="B54" s="325"/>
      <c r="C54" s="325"/>
      <c r="D54" s="325"/>
      <c r="E54" s="325"/>
      <c r="F54" s="325"/>
      <c r="G54" s="325"/>
      <c r="H54" s="325"/>
      <c r="I54" s="325"/>
      <c r="J54" s="326"/>
      <c r="K54" s="325"/>
      <c r="L54" s="340">
        <v>44</v>
      </c>
      <c r="M54" s="341">
        <f t="shared" si="2"/>
        <v>44787</v>
      </c>
      <c r="N54" s="330" t="str">
        <f>VLOOKUP(MONTH(M54),A36:B47,2)</f>
        <v>Aug</v>
      </c>
      <c r="O54" s="342">
        <f>VLOOKUP(N54,C21:E32,3,FALSE)</f>
        <v>0</v>
      </c>
      <c r="P54" s="340">
        <f t="shared" si="0"/>
        <v>538.04999999999995</v>
      </c>
      <c r="Q54" s="325"/>
      <c r="R54" s="325"/>
      <c r="S54" s="327"/>
      <c r="T54" s="349">
        <f t="shared" si="5"/>
        <v>422.94999999999993</v>
      </c>
      <c r="U54"/>
      <c r="W54" s="597"/>
      <c r="X54"/>
      <c r="Y54"/>
      <c r="Z54"/>
      <c r="AA54"/>
      <c r="AB54"/>
      <c r="AC54"/>
      <c r="AD54"/>
      <c r="AE54" s="585"/>
    </row>
    <row r="55" spans="1:31" x14ac:dyDescent="0.25">
      <c r="A55" s="325"/>
      <c r="B55" s="325"/>
      <c r="C55" s="325"/>
      <c r="D55" s="325"/>
      <c r="E55" s="325"/>
      <c r="F55" s="325"/>
      <c r="G55" s="325"/>
      <c r="H55" s="325"/>
      <c r="I55" s="325"/>
      <c r="J55" s="326"/>
      <c r="K55" s="325"/>
      <c r="L55" s="340">
        <v>45</v>
      </c>
      <c r="M55" s="341">
        <f t="shared" si="2"/>
        <v>44818</v>
      </c>
      <c r="N55" s="330" t="str">
        <f>VLOOKUP(MONTH(M55),A36:B47,2)</f>
        <v>Sep</v>
      </c>
      <c r="O55" s="342">
        <f>VLOOKUP(N55,C21:E32,3,FALSE)</f>
        <v>0</v>
      </c>
      <c r="P55" s="340">
        <f t="shared" si="0"/>
        <v>538.04999999999995</v>
      </c>
      <c r="Q55" s="325"/>
      <c r="R55" s="325"/>
      <c r="S55" s="327"/>
      <c r="T55" s="349">
        <f t="shared" si="5"/>
        <v>422.94999999999993</v>
      </c>
      <c r="U55"/>
      <c r="W55" s="585"/>
      <c r="X55"/>
      <c r="Y55"/>
      <c r="Z55"/>
      <c r="AA55"/>
      <c r="AB55"/>
      <c r="AC55"/>
      <c r="AD55"/>
      <c r="AE55" s="585"/>
    </row>
    <row r="56" spans="1:31" x14ac:dyDescent="0.25">
      <c r="A56" s="325"/>
      <c r="B56" s="325"/>
      <c r="C56" s="325"/>
      <c r="D56" s="325"/>
      <c r="E56" s="325"/>
      <c r="F56" s="325"/>
      <c r="G56" s="325"/>
      <c r="H56" s="325"/>
      <c r="I56" s="325"/>
      <c r="J56" s="326"/>
      <c r="K56" s="325"/>
      <c r="L56" s="340">
        <v>46</v>
      </c>
      <c r="M56" s="341">
        <f t="shared" si="2"/>
        <v>44848</v>
      </c>
      <c r="N56" s="330" t="str">
        <f>VLOOKUP(MONTH(M56),A36:B47,2)</f>
        <v>Oct</v>
      </c>
      <c r="O56" s="342">
        <f>VLOOKUP(N56,C21:E32,3,FALSE)</f>
        <v>0</v>
      </c>
      <c r="P56" s="340">
        <f t="shared" si="0"/>
        <v>538.04999999999995</v>
      </c>
      <c r="Q56" s="325"/>
      <c r="R56" s="325"/>
      <c r="S56" s="327"/>
      <c r="T56" s="349">
        <f t="shared" si="5"/>
        <v>422.94999999999993</v>
      </c>
      <c r="U56"/>
      <c r="W56" s="585"/>
      <c r="X56"/>
      <c r="Y56"/>
      <c r="Z56"/>
      <c r="AA56"/>
      <c r="AB56"/>
      <c r="AC56"/>
      <c r="AD56"/>
      <c r="AE56" s="585"/>
    </row>
    <row r="57" spans="1:31" x14ac:dyDescent="0.25">
      <c r="A57" s="325"/>
      <c r="B57" s="325"/>
      <c r="C57" s="325"/>
      <c r="D57" s="325"/>
      <c r="E57" s="325"/>
      <c r="F57" s="325"/>
      <c r="G57" s="325"/>
      <c r="H57" s="325"/>
      <c r="I57" s="325"/>
      <c r="J57" s="326"/>
      <c r="K57" s="325"/>
      <c r="L57" s="340">
        <v>47</v>
      </c>
      <c r="M57" s="341">
        <f t="shared" si="2"/>
        <v>44879</v>
      </c>
      <c r="N57" s="330" t="str">
        <f>VLOOKUP(MONTH(M57),A36:B47,2)</f>
        <v>Nov</v>
      </c>
      <c r="O57" s="342">
        <f>VLOOKUP(N57,C21:E32,3,FALSE)</f>
        <v>0.15</v>
      </c>
      <c r="P57" s="340">
        <f t="shared" si="0"/>
        <v>542.69999999999993</v>
      </c>
      <c r="Q57" s="325"/>
      <c r="R57" s="325"/>
      <c r="S57" s="327"/>
      <c r="T57" s="349">
        <f t="shared" si="5"/>
        <v>427.59999999999991</v>
      </c>
      <c r="U57"/>
      <c r="X57"/>
      <c r="Y57"/>
      <c r="Z57"/>
      <c r="AA57"/>
      <c r="AB57"/>
      <c r="AC57"/>
      <c r="AD57"/>
      <c r="AE57" s="585"/>
    </row>
    <row r="58" spans="1:31" x14ac:dyDescent="0.25">
      <c r="A58" s="325"/>
      <c r="B58" s="325"/>
      <c r="C58" s="325"/>
      <c r="D58" s="325"/>
      <c r="E58" s="325"/>
      <c r="F58" s="325"/>
      <c r="G58" s="325"/>
      <c r="H58" s="325"/>
      <c r="I58" s="325"/>
      <c r="J58" s="326"/>
      <c r="K58" s="325"/>
      <c r="L58" s="352">
        <v>48</v>
      </c>
      <c r="M58" s="353">
        <f t="shared" si="2"/>
        <v>44909</v>
      </c>
      <c r="N58" s="354" t="str">
        <f>VLOOKUP(MONTH(M58),A36:B47,2)</f>
        <v>Dec</v>
      </c>
      <c r="O58" s="355">
        <f>VLOOKUP(N58,C21:E32,3,FALSE)</f>
        <v>0.4</v>
      </c>
      <c r="P58" s="352">
        <f t="shared" si="0"/>
        <v>554.69999999999993</v>
      </c>
      <c r="Q58" s="325"/>
      <c r="R58" s="325"/>
      <c r="S58" s="327"/>
      <c r="T58" s="349">
        <f t="shared" si="5"/>
        <v>439.59999999999991</v>
      </c>
      <c r="U58"/>
    </row>
    <row r="59" spans="1:31" x14ac:dyDescent="0.25">
      <c r="A59" s="325"/>
      <c r="B59" s="325"/>
      <c r="C59" s="325"/>
      <c r="D59" s="325"/>
      <c r="E59" s="325"/>
      <c r="F59" s="325"/>
      <c r="G59" s="325"/>
      <c r="H59" s="325"/>
      <c r="I59" s="325"/>
      <c r="J59" s="326"/>
      <c r="K59" s="325"/>
      <c r="L59" s="340">
        <v>49</v>
      </c>
      <c r="M59" s="341">
        <f t="shared" si="2"/>
        <v>44940</v>
      </c>
      <c r="N59" s="330" t="str">
        <f>VLOOKUP(MONTH(M59),A36:B47,2)</f>
        <v>Jan</v>
      </c>
      <c r="O59" s="342">
        <f>VLOOKUP(N59,C21:E32,3,FALSE)</f>
        <v>0.7</v>
      </c>
      <c r="P59" s="340">
        <f t="shared" si="0"/>
        <v>576.4</v>
      </c>
      <c r="Q59" s="325"/>
      <c r="R59" s="325"/>
      <c r="S59" s="327"/>
      <c r="T59" s="325"/>
    </row>
    <row r="60" spans="1:31" x14ac:dyDescent="0.25">
      <c r="A60" s="325"/>
      <c r="B60" s="325"/>
      <c r="C60" s="325"/>
      <c r="D60" s="325"/>
      <c r="E60" s="325"/>
      <c r="F60" s="325"/>
      <c r="G60" s="325"/>
      <c r="H60" s="325"/>
      <c r="I60" s="325"/>
      <c r="J60" s="326"/>
      <c r="K60" s="325"/>
      <c r="L60" s="340">
        <v>50</v>
      </c>
      <c r="M60" s="341">
        <f t="shared" si="2"/>
        <v>44971</v>
      </c>
      <c r="N60" s="330" t="str">
        <f>VLOOKUP(MONTH(M60),A36:B47,2)</f>
        <v>Feb</v>
      </c>
      <c r="O60" s="342">
        <f>VLOOKUP(N60,C21:E32,3,FALSE)</f>
        <v>0.7</v>
      </c>
      <c r="P60" s="340">
        <f t="shared" si="0"/>
        <v>598.1</v>
      </c>
      <c r="Q60" s="325"/>
      <c r="R60" s="325"/>
      <c r="S60" s="327"/>
      <c r="T60" s="325"/>
    </row>
    <row r="61" spans="1:31" x14ac:dyDescent="0.25">
      <c r="A61" s="325"/>
      <c r="B61" s="325"/>
      <c r="C61" s="325"/>
      <c r="D61" s="325"/>
      <c r="E61" s="325"/>
      <c r="F61" s="325"/>
      <c r="G61" s="325"/>
      <c r="H61" s="325"/>
      <c r="I61" s="325"/>
      <c r="J61" s="326"/>
      <c r="K61" s="325"/>
      <c r="L61" s="340">
        <v>51</v>
      </c>
      <c r="M61" s="341">
        <f t="shared" si="2"/>
        <v>44999</v>
      </c>
      <c r="N61" s="330" t="str">
        <f>VLOOKUP(MONTH(M61),A36:B47,2)</f>
        <v>Mar</v>
      </c>
      <c r="O61" s="342">
        <f>VLOOKUP(N61,C21:E32,3,FALSE)</f>
        <v>0.5</v>
      </c>
      <c r="P61" s="340">
        <f t="shared" si="0"/>
        <v>612.1</v>
      </c>
      <c r="Q61" s="325"/>
      <c r="R61" s="325"/>
      <c r="S61" s="327"/>
      <c r="T61" s="325"/>
    </row>
    <row r="62" spans="1:31" x14ac:dyDescent="0.25">
      <c r="A62" s="325"/>
      <c r="B62" s="325"/>
      <c r="C62" s="325"/>
      <c r="D62" s="325"/>
      <c r="E62" s="325"/>
      <c r="F62" s="325"/>
      <c r="G62" s="325"/>
      <c r="H62" s="325"/>
      <c r="I62" s="325"/>
      <c r="J62" s="326"/>
      <c r="K62" s="325"/>
      <c r="L62" s="340">
        <v>52</v>
      </c>
      <c r="M62" s="341">
        <f t="shared" si="2"/>
        <v>45030</v>
      </c>
      <c r="N62" s="330" t="str">
        <f>VLOOKUP(MONTH(M62),A36:B47,2)</f>
        <v>Apr</v>
      </c>
      <c r="O62" s="342">
        <f>VLOOKUP(N62,C21:E32,3,FALSE)</f>
        <v>0.5</v>
      </c>
      <c r="P62" s="340">
        <f t="shared" si="0"/>
        <v>627.6</v>
      </c>
      <c r="Q62" s="325"/>
      <c r="R62" s="325"/>
      <c r="S62" s="327"/>
      <c r="T62" s="325"/>
    </row>
    <row r="63" spans="1:31" x14ac:dyDescent="0.25">
      <c r="A63" s="325"/>
      <c r="B63" s="325"/>
      <c r="C63" s="325"/>
      <c r="D63" s="325"/>
      <c r="E63" s="325"/>
      <c r="F63" s="325"/>
      <c r="G63" s="325"/>
      <c r="H63" s="325"/>
      <c r="I63" s="325"/>
      <c r="J63" s="326"/>
      <c r="K63" s="325"/>
      <c r="L63" s="340">
        <v>53</v>
      </c>
      <c r="M63" s="341">
        <f t="shared" si="2"/>
        <v>45060</v>
      </c>
      <c r="N63" s="330" t="str">
        <f>VLOOKUP(MONTH(M63),A36:B47,2)</f>
        <v>May</v>
      </c>
      <c r="O63" s="342">
        <f>VLOOKUP(N63,C21:E32,3,FALSE)</f>
        <v>0.5</v>
      </c>
      <c r="P63" s="340">
        <f t="shared" si="0"/>
        <v>642.6</v>
      </c>
      <c r="Q63" s="325"/>
      <c r="R63" s="325"/>
      <c r="S63" s="327"/>
      <c r="T63" s="325"/>
    </row>
    <row r="64" spans="1:31" x14ac:dyDescent="0.25">
      <c r="A64" s="325"/>
      <c r="B64" s="325"/>
      <c r="C64" s="325"/>
      <c r="D64" s="325"/>
      <c r="E64" s="325"/>
      <c r="F64" s="325"/>
      <c r="G64" s="325"/>
      <c r="H64" s="325"/>
      <c r="I64" s="325"/>
      <c r="J64" s="326"/>
      <c r="K64" s="325"/>
      <c r="L64" s="340">
        <v>54</v>
      </c>
      <c r="M64" s="341">
        <f t="shared" si="2"/>
        <v>45091</v>
      </c>
      <c r="N64" s="330" t="str">
        <f>VLOOKUP(MONTH(M64),A36:B47,2)</f>
        <v>Jun</v>
      </c>
      <c r="O64" s="342">
        <f>VLOOKUP(N64,C21:E32,3,FALSE)</f>
        <v>0.2</v>
      </c>
      <c r="P64" s="340">
        <f t="shared" si="0"/>
        <v>648.80000000000007</v>
      </c>
      <c r="Q64" s="325"/>
      <c r="R64" s="325"/>
      <c r="S64" s="327"/>
      <c r="T64" s="325"/>
    </row>
    <row r="65" spans="1:20" x14ac:dyDescent="0.25">
      <c r="A65" s="325"/>
      <c r="B65" s="325"/>
      <c r="C65" s="325"/>
      <c r="D65" s="325"/>
      <c r="E65" s="325"/>
      <c r="F65" s="325"/>
      <c r="G65" s="325"/>
      <c r="H65" s="325"/>
      <c r="I65" s="325"/>
      <c r="J65" s="326"/>
      <c r="K65" s="325"/>
      <c r="L65" s="340">
        <v>55</v>
      </c>
      <c r="M65" s="341">
        <f t="shared" si="2"/>
        <v>45121</v>
      </c>
      <c r="N65" s="330" t="str">
        <f>VLOOKUP(MONTH(M65),A36:B47,2)</f>
        <v>Jul</v>
      </c>
      <c r="O65" s="342">
        <f>VLOOKUP(N65,C21:E32,3,FALSE)</f>
        <v>0.1</v>
      </c>
      <c r="P65" s="340">
        <f t="shared" si="0"/>
        <v>651.80000000000007</v>
      </c>
      <c r="Q65" s="325"/>
      <c r="R65" s="325"/>
      <c r="S65" s="327"/>
      <c r="T65" s="325"/>
    </row>
    <row r="66" spans="1:20" x14ac:dyDescent="0.25">
      <c r="A66" s="325"/>
      <c r="B66" s="325"/>
      <c r="C66" s="325"/>
      <c r="D66" s="325"/>
      <c r="E66" s="325"/>
      <c r="F66" s="325"/>
      <c r="G66" s="325"/>
      <c r="H66" s="325"/>
      <c r="I66" s="325"/>
      <c r="J66" s="326"/>
      <c r="K66" s="325"/>
      <c r="L66" s="340">
        <v>56</v>
      </c>
      <c r="M66" s="341">
        <f t="shared" si="2"/>
        <v>45152</v>
      </c>
      <c r="N66" s="330" t="str">
        <f>VLOOKUP(MONTH(M66),A36:B47,2)</f>
        <v>Aug</v>
      </c>
      <c r="O66" s="342">
        <f>VLOOKUP(N66,C21:E32,3,FALSE)</f>
        <v>0</v>
      </c>
      <c r="P66" s="340">
        <f t="shared" si="0"/>
        <v>651.80000000000007</v>
      </c>
      <c r="Q66" s="325"/>
      <c r="R66" s="325"/>
      <c r="S66" s="327"/>
      <c r="T66" s="325"/>
    </row>
    <row r="67" spans="1:20" x14ac:dyDescent="0.25">
      <c r="A67" s="325"/>
      <c r="B67" s="325"/>
      <c r="C67" s="325"/>
      <c r="D67" s="325"/>
      <c r="E67" s="325"/>
      <c r="F67" s="325"/>
      <c r="G67" s="325"/>
      <c r="H67" s="325"/>
      <c r="I67" s="325"/>
      <c r="J67" s="326"/>
      <c r="K67" s="325"/>
      <c r="L67" s="340">
        <v>57</v>
      </c>
      <c r="M67" s="341">
        <f t="shared" si="2"/>
        <v>45183</v>
      </c>
      <c r="N67" s="330" t="str">
        <f>VLOOKUP(MONTH(M67),A36:B47,2)</f>
        <v>Sep</v>
      </c>
      <c r="O67" s="342">
        <f>VLOOKUP(N67,C21:E32,3,FALSE)</f>
        <v>0</v>
      </c>
      <c r="P67" s="340">
        <f t="shared" si="0"/>
        <v>651.80000000000007</v>
      </c>
      <c r="Q67" s="325"/>
      <c r="R67" s="325"/>
      <c r="S67" s="327"/>
      <c r="T67" s="325"/>
    </row>
    <row r="68" spans="1:20" x14ac:dyDescent="0.25">
      <c r="A68" s="325"/>
      <c r="B68" s="325"/>
      <c r="C68" s="325"/>
      <c r="D68" s="325"/>
      <c r="E68" s="325"/>
      <c r="F68" s="325"/>
      <c r="G68" s="325"/>
      <c r="H68" s="325"/>
      <c r="I68" s="325"/>
      <c r="J68" s="326"/>
      <c r="K68" s="325"/>
      <c r="L68" s="340">
        <v>58</v>
      </c>
      <c r="M68" s="341">
        <f t="shared" si="2"/>
        <v>45213</v>
      </c>
      <c r="N68" s="330" t="str">
        <f>VLOOKUP(MONTH(M68),A36:B47,2)</f>
        <v>Oct</v>
      </c>
      <c r="O68" s="342">
        <f>VLOOKUP(N68,C21:E32,3,FALSE)</f>
        <v>0</v>
      </c>
      <c r="P68" s="340">
        <f t="shared" si="0"/>
        <v>651.80000000000007</v>
      </c>
      <c r="Q68" s="325"/>
      <c r="R68" s="325"/>
      <c r="S68" s="327"/>
      <c r="T68" s="325"/>
    </row>
    <row r="69" spans="1:20" x14ac:dyDescent="0.25">
      <c r="A69" s="325"/>
      <c r="B69" s="325"/>
      <c r="C69" s="325"/>
      <c r="D69" s="325"/>
      <c r="E69" s="325"/>
      <c r="F69" s="325"/>
      <c r="G69" s="325"/>
      <c r="H69" s="325"/>
      <c r="I69" s="325"/>
      <c r="J69" s="326"/>
      <c r="K69" s="325"/>
      <c r="L69" s="340">
        <v>59</v>
      </c>
      <c r="M69" s="341">
        <f t="shared" si="2"/>
        <v>45244</v>
      </c>
      <c r="N69" s="330" t="str">
        <f>VLOOKUP(MONTH(M69),A36:B47,2)</f>
        <v>Nov</v>
      </c>
      <c r="O69" s="342">
        <f>VLOOKUP(N69,C21:E32,3,FALSE)</f>
        <v>0.15</v>
      </c>
      <c r="P69" s="340">
        <f t="shared" si="0"/>
        <v>656.45</v>
      </c>
      <c r="Q69" s="325"/>
      <c r="R69" s="325"/>
      <c r="S69" s="327"/>
      <c r="T69" s="325"/>
    </row>
    <row r="70" spans="1:20" x14ac:dyDescent="0.25">
      <c r="A70" s="325"/>
      <c r="B70" s="325"/>
      <c r="C70" s="325"/>
      <c r="D70" s="325"/>
      <c r="E70" s="325"/>
      <c r="F70" s="325"/>
      <c r="G70" s="325"/>
      <c r="H70" s="325"/>
      <c r="I70" s="325"/>
      <c r="J70" s="326"/>
      <c r="K70" s="325"/>
      <c r="L70" s="352">
        <v>60</v>
      </c>
      <c r="M70" s="353">
        <f t="shared" si="2"/>
        <v>45274</v>
      </c>
      <c r="N70" s="354" t="str">
        <f>VLOOKUP(MONTH(M70),A36:B47,2)</f>
        <v>Dec</v>
      </c>
      <c r="O70" s="355">
        <f>VLOOKUP(N70,C21:E32,3,FALSE)</f>
        <v>0.4</v>
      </c>
      <c r="P70" s="352">
        <f t="shared" si="0"/>
        <v>668.45</v>
      </c>
      <c r="Q70" s="325"/>
      <c r="R70" s="325"/>
      <c r="S70" s="327"/>
      <c r="T70" s="325"/>
    </row>
    <row r="71" spans="1:20" x14ac:dyDescent="0.25">
      <c r="A71" s="325"/>
      <c r="B71" s="325"/>
      <c r="C71" s="325"/>
      <c r="D71" s="325"/>
      <c r="E71" s="325"/>
      <c r="F71" s="325"/>
      <c r="G71" s="325"/>
      <c r="H71" s="325"/>
      <c r="I71" s="325"/>
      <c r="J71" s="326"/>
      <c r="K71" s="325"/>
      <c r="L71" s="325"/>
      <c r="M71" s="341"/>
      <c r="N71" s="325"/>
      <c r="O71" s="325"/>
      <c r="P71" s="327"/>
      <c r="Q71" s="327"/>
      <c r="R71" s="327"/>
      <c r="S71" s="327"/>
      <c r="T71" s="32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W186"/>
  <sheetViews>
    <sheetView showGridLines="0" zoomScale="75" zoomScaleNormal="75" workbookViewId="0"/>
  </sheetViews>
  <sheetFormatPr defaultRowHeight="12.5" x14ac:dyDescent="0.25"/>
  <cols>
    <col min="2" max="2" width="42.36328125" customWidth="1"/>
    <col min="3" max="3" width="21.90625" customWidth="1"/>
    <col min="4" max="4" width="23" bestFit="1" customWidth="1"/>
    <col min="5" max="5" width="26.90625" customWidth="1"/>
    <col min="6" max="6" width="20.36328125" customWidth="1"/>
    <col min="7" max="7" width="21.90625" bestFit="1" customWidth="1"/>
    <col min="8" max="8" width="25.36328125" bestFit="1" customWidth="1"/>
    <col min="9" max="9" width="12.54296875" bestFit="1" customWidth="1"/>
  </cols>
  <sheetData>
    <row r="3" spans="2:8" ht="15.5" x14ac:dyDescent="0.35">
      <c r="B3" s="373" t="s">
        <v>548</v>
      </c>
    </row>
    <row r="4" spans="2:8" ht="15.5" x14ac:dyDescent="0.35">
      <c r="B4" s="373" t="s">
        <v>664</v>
      </c>
    </row>
    <row r="6" spans="2:8" ht="15" x14ac:dyDescent="0.3">
      <c r="B6" s="374" t="s">
        <v>530</v>
      </c>
    </row>
    <row r="7" spans="2:8" ht="15" x14ac:dyDescent="0.3">
      <c r="B7" s="374" t="s">
        <v>531</v>
      </c>
      <c r="C7" s="212" t="s">
        <v>549</v>
      </c>
      <c r="D7" s="212" t="s">
        <v>550</v>
      </c>
      <c r="E7" s="334" t="s">
        <v>551</v>
      </c>
      <c r="F7" s="212" t="s">
        <v>532</v>
      </c>
      <c r="G7" s="212" t="s">
        <v>552</v>
      </c>
      <c r="H7" s="387" t="s">
        <v>558</v>
      </c>
    </row>
    <row r="8" spans="2:8" ht="15.5" x14ac:dyDescent="0.35">
      <c r="B8" s="388"/>
      <c r="C8" s="376"/>
      <c r="D8" s="377"/>
      <c r="E8" s="377"/>
      <c r="F8" s="378">
        <f>C8/1000/1000*D8*E8</f>
        <v>0</v>
      </c>
      <c r="G8" s="379">
        <f>C8/1000/1000*D8</f>
        <v>0</v>
      </c>
    </row>
    <row r="9" spans="2:8" ht="15.5" x14ac:dyDescent="0.35">
      <c r="B9" s="389"/>
      <c r="C9" s="376"/>
      <c r="D9" s="377"/>
      <c r="E9" s="377"/>
      <c r="F9" s="378">
        <f>C9/1000/1000*D9*E9</f>
        <v>0</v>
      </c>
      <c r="G9" s="378">
        <f>C9/1000/1000*D9</f>
        <v>0</v>
      </c>
      <c r="H9">
        <f>D9*0.08</f>
        <v>0</v>
      </c>
    </row>
    <row r="10" spans="2:8" ht="15.5" x14ac:dyDescent="0.35">
      <c r="B10" s="389"/>
      <c r="C10" s="376"/>
      <c r="D10" s="377"/>
      <c r="E10" s="377"/>
      <c r="F10" s="378">
        <f>C10/1000/1000*D10*E10</f>
        <v>0</v>
      </c>
      <c r="G10" s="378">
        <f>C10/1000/1000*D10</f>
        <v>0</v>
      </c>
      <c r="H10">
        <f t="shared" ref="H10:H11" si="0">D10*0.08</f>
        <v>0</v>
      </c>
    </row>
    <row r="11" spans="2:8" ht="15.5" x14ac:dyDescent="0.35">
      <c r="B11" s="389"/>
      <c r="C11" s="376"/>
      <c r="D11" s="377"/>
      <c r="E11" s="377"/>
      <c r="F11" s="378">
        <f>C11/1000/1000*D11*E11</f>
        <v>0</v>
      </c>
      <c r="G11" s="378">
        <f>C11/1000/1000*D11</f>
        <v>0</v>
      </c>
      <c r="H11">
        <f t="shared" si="0"/>
        <v>0</v>
      </c>
    </row>
    <row r="12" spans="2:8" ht="15.5" x14ac:dyDescent="0.35">
      <c r="B12" s="389"/>
      <c r="C12" s="376"/>
      <c r="D12" s="377"/>
      <c r="E12" s="377"/>
      <c r="F12" s="378">
        <f t="shared" ref="F12:F20" si="1">C12/1000/1000*D12*E12</f>
        <v>0</v>
      </c>
      <c r="G12" s="378">
        <f t="shared" ref="G12:G20" si="2">C12/1000/1000*D12</f>
        <v>0</v>
      </c>
    </row>
    <row r="13" spans="2:8" ht="15.5" x14ac:dyDescent="0.35">
      <c r="B13" s="388"/>
      <c r="C13" s="376"/>
      <c r="D13" s="377"/>
      <c r="E13" s="377"/>
      <c r="F13" s="378">
        <f t="shared" si="1"/>
        <v>0</v>
      </c>
      <c r="G13" s="378">
        <f t="shared" si="2"/>
        <v>0</v>
      </c>
    </row>
    <row r="14" spans="2:8" ht="15.5" x14ac:dyDescent="0.35">
      <c r="B14" s="388"/>
      <c r="C14" s="376"/>
      <c r="D14" s="377"/>
      <c r="E14" s="377"/>
      <c r="F14" s="378">
        <f t="shared" si="1"/>
        <v>0</v>
      </c>
      <c r="G14" s="378">
        <f t="shared" si="2"/>
        <v>0</v>
      </c>
    </row>
    <row r="15" spans="2:8" ht="15.5" x14ac:dyDescent="0.35">
      <c r="B15" s="388"/>
      <c r="C15" s="376"/>
      <c r="D15" s="377"/>
      <c r="E15" s="377"/>
      <c r="F15" s="378">
        <f t="shared" si="1"/>
        <v>0</v>
      </c>
      <c r="G15" s="378">
        <f t="shared" si="2"/>
        <v>0</v>
      </c>
    </row>
    <row r="16" spans="2:8" ht="15.5" x14ac:dyDescent="0.35">
      <c r="B16" s="388"/>
      <c r="C16" s="376"/>
      <c r="D16" s="377"/>
      <c r="E16" s="377"/>
      <c r="F16" s="378">
        <f t="shared" si="1"/>
        <v>0</v>
      </c>
      <c r="G16" s="378">
        <f t="shared" si="2"/>
        <v>0</v>
      </c>
    </row>
    <row r="17" spans="2:8" ht="15.5" x14ac:dyDescent="0.35">
      <c r="B17" s="389"/>
      <c r="C17" s="376"/>
      <c r="D17" s="377"/>
      <c r="E17" s="377"/>
      <c r="F17" s="378">
        <f t="shared" si="1"/>
        <v>0</v>
      </c>
      <c r="G17" s="378">
        <f t="shared" si="2"/>
        <v>0</v>
      </c>
      <c r="H17">
        <f t="shared" ref="H17:H18" si="3">D17*0.14</f>
        <v>0</v>
      </c>
    </row>
    <row r="18" spans="2:8" ht="15.5" x14ac:dyDescent="0.35">
      <c r="B18" s="389"/>
      <c r="C18" s="376"/>
      <c r="D18" s="377"/>
      <c r="E18" s="377"/>
      <c r="F18" s="378">
        <f t="shared" si="1"/>
        <v>0</v>
      </c>
      <c r="G18" s="378">
        <f t="shared" si="2"/>
        <v>0</v>
      </c>
      <c r="H18">
        <f t="shared" si="3"/>
        <v>0</v>
      </c>
    </row>
    <row r="19" spans="2:8" ht="15.5" x14ac:dyDescent="0.35">
      <c r="B19" s="389"/>
      <c r="C19" s="376"/>
      <c r="D19" s="377"/>
      <c r="E19" s="377"/>
      <c r="F19" s="378">
        <f t="shared" si="1"/>
        <v>0</v>
      </c>
      <c r="G19" s="378">
        <f t="shared" si="2"/>
        <v>0</v>
      </c>
      <c r="H19">
        <f>D19*0.14</f>
        <v>0</v>
      </c>
    </row>
    <row r="20" spans="2:8" ht="15.5" x14ac:dyDescent="0.35">
      <c r="B20" s="388"/>
      <c r="C20" s="376"/>
      <c r="D20" s="377"/>
      <c r="E20" s="377"/>
      <c r="F20" s="378">
        <f t="shared" si="1"/>
        <v>0</v>
      </c>
      <c r="G20" s="378">
        <f t="shared" si="2"/>
        <v>0</v>
      </c>
    </row>
    <row r="22" spans="2:8" ht="15" x14ac:dyDescent="0.3">
      <c r="B22" s="374" t="s">
        <v>553</v>
      </c>
    </row>
    <row r="23" spans="2:8" ht="12.75" customHeight="1" x14ac:dyDescent="0.25">
      <c r="C23" s="375" t="s">
        <v>554</v>
      </c>
      <c r="D23" s="375" t="s">
        <v>555</v>
      </c>
      <c r="E23" s="375" t="s">
        <v>551</v>
      </c>
      <c r="F23" s="375" t="s">
        <v>532</v>
      </c>
      <c r="G23" s="375" t="s">
        <v>552</v>
      </c>
    </row>
    <row r="24" spans="2:8" x14ac:dyDescent="0.25">
      <c r="B24" s="372"/>
      <c r="C24" s="380"/>
      <c r="D24" s="377"/>
      <c r="E24" s="381"/>
      <c r="F24" s="378">
        <f>IF(C24&lt;=0,0,C24/D24)</f>
        <v>0</v>
      </c>
      <c r="G24" s="378">
        <f>IF(C24&lt;=0,0,C24/D24/E24)</f>
        <v>0</v>
      </c>
    </row>
    <row r="25" spans="2:8" x14ac:dyDescent="0.25">
      <c r="B25" s="372"/>
      <c r="C25" s="382"/>
      <c r="D25" s="377"/>
      <c r="E25" s="383"/>
      <c r="F25" s="378">
        <f t="shared" ref="F25:F36" si="4">IF(C25&lt;=0,0,C25/D25)</f>
        <v>0</v>
      </c>
      <c r="G25" s="378">
        <f t="shared" ref="G25:G36" si="5">IF(C25&lt;=0,0,C25/D25/E25)</f>
        <v>0</v>
      </c>
    </row>
    <row r="26" spans="2:8" x14ac:dyDescent="0.25">
      <c r="B26" s="372"/>
      <c r="C26" s="382"/>
      <c r="D26" s="377"/>
      <c r="E26" s="383"/>
      <c r="F26" s="378">
        <f t="shared" si="4"/>
        <v>0</v>
      </c>
      <c r="G26" s="378">
        <f t="shared" si="5"/>
        <v>0</v>
      </c>
    </row>
    <row r="27" spans="2:8" x14ac:dyDescent="0.25">
      <c r="B27" s="372"/>
      <c r="C27" s="382"/>
      <c r="D27" s="377"/>
      <c r="E27" s="383"/>
      <c r="F27" s="378">
        <f t="shared" si="4"/>
        <v>0</v>
      </c>
      <c r="G27" s="378">
        <f t="shared" si="5"/>
        <v>0</v>
      </c>
    </row>
    <row r="28" spans="2:8" x14ac:dyDescent="0.25">
      <c r="B28" s="372"/>
      <c r="C28" s="382"/>
      <c r="D28" s="377"/>
      <c r="E28" s="383"/>
      <c r="F28" s="378">
        <f t="shared" si="4"/>
        <v>0</v>
      </c>
      <c r="G28" s="378">
        <f t="shared" si="5"/>
        <v>0</v>
      </c>
    </row>
    <row r="29" spans="2:8" ht="13.5" customHeight="1" x14ac:dyDescent="0.25">
      <c r="B29" s="372"/>
      <c r="C29" s="382"/>
      <c r="D29" s="377"/>
      <c r="E29" s="383"/>
      <c r="F29" s="378">
        <f t="shared" si="4"/>
        <v>0</v>
      </c>
      <c r="G29" s="378">
        <f t="shared" si="5"/>
        <v>0</v>
      </c>
    </row>
    <row r="30" spans="2:8" x14ac:dyDescent="0.25">
      <c r="B30" s="372"/>
      <c r="C30" s="382"/>
      <c r="D30" s="377"/>
      <c r="E30" s="383"/>
      <c r="F30" s="378">
        <f t="shared" si="4"/>
        <v>0</v>
      </c>
      <c r="G30" s="378">
        <f t="shared" si="5"/>
        <v>0</v>
      </c>
    </row>
    <row r="31" spans="2:8" x14ac:dyDescent="0.25">
      <c r="B31" s="372"/>
      <c r="C31" s="382"/>
      <c r="D31" s="377"/>
      <c r="E31" s="383"/>
      <c r="F31" s="378">
        <f t="shared" si="4"/>
        <v>0</v>
      </c>
      <c r="G31" s="378">
        <f t="shared" si="5"/>
        <v>0</v>
      </c>
    </row>
    <row r="32" spans="2:8" x14ac:dyDescent="0.25">
      <c r="B32" s="372"/>
      <c r="C32" s="382"/>
      <c r="D32" s="377"/>
      <c r="E32" s="383"/>
      <c r="F32" s="378">
        <f t="shared" si="4"/>
        <v>0</v>
      </c>
      <c r="G32" s="378">
        <f t="shared" si="5"/>
        <v>0</v>
      </c>
    </row>
    <row r="33" spans="2:19" ht="13.5" customHeight="1" x14ac:dyDescent="0.25">
      <c r="B33" s="372"/>
      <c r="C33" s="382"/>
      <c r="D33" s="377"/>
      <c r="E33" s="383"/>
      <c r="F33" s="378">
        <f t="shared" si="4"/>
        <v>0</v>
      </c>
      <c r="G33" s="378">
        <f t="shared" si="5"/>
        <v>0</v>
      </c>
    </row>
    <row r="34" spans="2:19" x14ac:dyDescent="0.25">
      <c r="B34" s="372"/>
      <c r="C34" s="382"/>
      <c r="D34" s="377"/>
      <c r="E34" s="383"/>
      <c r="F34" s="378">
        <f t="shared" si="4"/>
        <v>0</v>
      </c>
      <c r="G34" s="378">
        <f t="shared" si="5"/>
        <v>0</v>
      </c>
    </row>
    <row r="35" spans="2:19" x14ac:dyDescent="0.25">
      <c r="B35" s="372"/>
      <c r="C35" s="382"/>
      <c r="D35" s="377"/>
      <c r="E35" s="383"/>
      <c r="F35" s="378">
        <f t="shared" si="4"/>
        <v>0</v>
      </c>
      <c r="G35" s="378">
        <f t="shared" si="5"/>
        <v>0</v>
      </c>
    </row>
    <row r="36" spans="2:19" x14ac:dyDescent="0.25">
      <c r="B36" s="372"/>
      <c r="C36" s="384"/>
      <c r="D36" s="377"/>
      <c r="E36" s="385"/>
      <c r="F36" s="378">
        <f t="shared" si="4"/>
        <v>0</v>
      </c>
      <c r="G36" s="378">
        <f t="shared" si="5"/>
        <v>0</v>
      </c>
    </row>
    <row r="40" spans="2:19" ht="13" x14ac:dyDescent="0.3">
      <c r="B40" s="396" t="s">
        <v>559</v>
      </c>
      <c r="C40" s="397"/>
      <c r="D40" s="396" t="s">
        <v>560</v>
      </c>
      <c r="E40" s="397" t="s">
        <v>368</v>
      </c>
      <c r="F40" s="397"/>
      <c r="G40" s="397"/>
      <c r="H40" s="397"/>
      <c r="I40" s="397"/>
      <c r="J40" s="397"/>
      <c r="K40" s="397"/>
      <c r="L40" s="397"/>
      <c r="M40" s="397"/>
      <c r="N40" s="397"/>
      <c r="O40" s="397"/>
      <c r="P40" s="397"/>
      <c r="Q40" s="397"/>
      <c r="R40" s="397"/>
      <c r="S40" s="397"/>
    </row>
    <row r="41" spans="2:19" ht="13" x14ac:dyDescent="0.3">
      <c r="B41" s="396"/>
      <c r="C41" s="397"/>
      <c r="D41" s="397"/>
      <c r="E41" s="397"/>
      <c r="F41" s="397"/>
      <c r="G41" s="397"/>
      <c r="H41" s="397"/>
      <c r="I41" s="397"/>
      <c r="J41" s="397"/>
      <c r="K41" s="397"/>
      <c r="L41" s="397"/>
      <c r="M41" s="397"/>
      <c r="N41" s="397"/>
      <c r="O41" s="397"/>
      <c r="P41" s="397"/>
      <c r="Q41" s="397"/>
      <c r="R41" s="397"/>
      <c r="S41" s="397"/>
    </row>
    <row r="42" spans="2:19" ht="13" x14ac:dyDescent="0.3">
      <c r="B42" s="396" t="s">
        <v>561</v>
      </c>
      <c r="C42" s="397"/>
      <c r="D42" s="397"/>
      <c r="E42" s="397"/>
      <c r="F42" s="397"/>
      <c r="G42" s="397"/>
      <c r="H42" s="397"/>
      <c r="I42" s="397"/>
      <c r="J42" s="397"/>
      <c r="K42" s="397"/>
      <c r="L42" s="397"/>
      <c r="M42" s="397"/>
      <c r="N42" s="397"/>
      <c r="O42" s="397"/>
      <c r="P42" s="397"/>
      <c r="Q42" s="397"/>
      <c r="R42" s="397"/>
      <c r="S42" s="397"/>
    </row>
    <row r="43" spans="2:19" ht="13" x14ac:dyDescent="0.3">
      <c r="B43" s="396" t="s">
        <v>562</v>
      </c>
      <c r="C43" s="397"/>
      <c r="D43" s="397"/>
      <c r="E43" s="397"/>
      <c r="F43" s="397"/>
      <c r="G43" s="397"/>
      <c r="H43" s="397"/>
      <c r="I43" s="397"/>
      <c r="J43" s="397"/>
      <c r="K43" s="397"/>
      <c r="L43" s="397"/>
      <c r="M43" s="397"/>
      <c r="N43" s="397"/>
      <c r="O43" s="397"/>
      <c r="P43" s="397"/>
      <c r="Q43" s="397"/>
      <c r="R43" s="397"/>
      <c r="S43" s="397"/>
    </row>
    <row r="44" spans="2:19" ht="13" x14ac:dyDescent="0.3">
      <c r="B44" s="396"/>
      <c r="C44" s="397"/>
      <c r="D44" s="397"/>
      <c r="E44" s="397"/>
      <c r="F44" s="397"/>
      <c r="G44" s="397"/>
      <c r="H44" s="397"/>
      <c r="I44" s="397"/>
      <c r="J44" s="397"/>
      <c r="K44" s="397"/>
      <c r="L44" s="397"/>
      <c r="M44" s="397"/>
      <c r="N44" s="397"/>
      <c r="O44" s="397"/>
      <c r="P44" s="397"/>
      <c r="Q44" s="397"/>
      <c r="R44" s="397"/>
      <c r="S44" s="397"/>
    </row>
    <row r="45" spans="2:19" ht="13" x14ac:dyDescent="0.3">
      <c r="B45" s="396" t="s">
        <v>563</v>
      </c>
      <c r="C45" s="397"/>
      <c r="D45" s="397"/>
      <c r="E45" s="397"/>
      <c r="F45" s="397"/>
      <c r="G45" s="397"/>
      <c r="H45" s="397"/>
      <c r="I45" s="397"/>
      <c r="J45" s="397"/>
      <c r="K45" s="397"/>
      <c r="L45" s="397"/>
      <c r="M45" s="397"/>
      <c r="N45" s="397"/>
      <c r="O45" s="397"/>
      <c r="P45" s="397"/>
      <c r="Q45" s="397"/>
      <c r="R45" s="397"/>
      <c r="S45" s="397"/>
    </row>
    <row r="46" spans="2:19" ht="52" x14ac:dyDescent="0.3">
      <c r="B46" s="398" t="s">
        <v>564</v>
      </c>
      <c r="C46" s="399" t="s">
        <v>565</v>
      </c>
      <c r="D46" s="399" t="s">
        <v>566</v>
      </c>
      <c r="E46" s="399" t="s">
        <v>567</v>
      </c>
      <c r="F46" s="399" t="s">
        <v>568</v>
      </c>
      <c r="G46" s="399" t="s">
        <v>569</v>
      </c>
      <c r="H46" s="397"/>
      <c r="I46" s="397"/>
      <c r="J46" s="397"/>
      <c r="K46" s="397"/>
      <c r="L46" s="397"/>
      <c r="M46" s="397"/>
      <c r="N46" s="397"/>
      <c r="O46" s="397"/>
      <c r="P46" s="397"/>
      <c r="Q46" s="397"/>
      <c r="R46" s="397"/>
      <c r="S46" s="397"/>
    </row>
    <row r="47" spans="2:19" ht="13" x14ac:dyDescent="0.3">
      <c r="B47" s="400" t="s">
        <v>570</v>
      </c>
      <c r="C47" s="401"/>
      <c r="D47" s="401">
        <v>30</v>
      </c>
      <c r="E47" s="401">
        <v>30</v>
      </c>
      <c r="F47" s="401">
        <v>30</v>
      </c>
      <c r="G47" s="401">
        <v>30</v>
      </c>
      <c r="H47" s="397"/>
      <c r="I47" s="397"/>
      <c r="J47" s="397"/>
      <c r="K47" s="397"/>
      <c r="L47" s="397"/>
      <c r="M47" s="397"/>
      <c r="N47" s="397"/>
      <c r="O47" s="397"/>
      <c r="P47" s="397"/>
      <c r="Q47" s="397"/>
      <c r="R47" s="397"/>
      <c r="S47" s="397"/>
    </row>
    <row r="48" spans="2:19" ht="13" x14ac:dyDescent="0.3">
      <c r="B48" s="400" t="s">
        <v>571</v>
      </c>
      <c r="C48" s="401"/>
      <c r="D48" s="401">
        <v>8</v>
      </c>
      <c r="E48" s="401">
        <v>8</v>
      </c>
      <c r="F48" s="401">
        <v>8</v>
      </c>
      <c r="G48" s="401">
        <v>8</v>
      </c>
      <c r="H48" s="397"/>
      <c r="I48" s="397"/>
      <c r="J48" s="397"/>
      <c r="K48" s="397"/>
      <c r="L48" s="397"/>
      <c r="M48" s="397"/>
      <c r="N48" s="397"/>
      <c r="O48" s="397"/>
      <c r="P48" s="397"/>
      <c r="Q48" s="397"/>
      <c r="R48" s="397"/>
      <c r="S48" s="397"/>
    </row>
    <row r="49" spans="2:19" ht="13" x14ac:dyDescent="0.3">
      <c r="B49" s="400" t="s">
        <v>572</v>
      </c>
      <c r="C49" s="401"/>
      <c r="D49" s="401">
        <v>10</v>
      </c>
      <c r="E49" s="401">
        <v>10</v>
      </c>
      <c r="F49" s="401">
        <v>10</v>
      </c>
      <c r="G49" s="401">
        <v>10</v>
      </c>
      <c r="H49" s="397"/>
      <c r="I49" s="397"/>
      <c r="J49" s="397"/>
      <c r="K49" s="397"/>
      <c r="L49" s="397"/>
      <c r="M49" s="397"/>
      <c r="N49" s="397"/>
      <c r="O49" s="397"/>
      <c r="P49" s="397"/>
      <c r="Q49" s="397"/>
      <c r="R49" s="397"/>
      <c r="S49" s="397"/>
    </row>
    <row r="50" spans="2:19" ht="13" x14ac:dyDescent="0.3">
      <c r="B50" s="400" t="s">
        <v>573</v>
      </c>
      <c r="C50" s="401">
        <v>80</v>
      </c>
      <c r="D50" s="401">
        <v>6</v>
      </c>
      <c r="E50" s="401">
        <v>12</v>
      </c>
      <c r="F50" s="401">
        <v>17</v>
      </c>
      <c r="G50" s="401">
        <v>0</v>
      </c>
      <c r="H50" s="397"/>
      <c r="I50" s="397"/>
      <c r="J50" s="397"/>
      <c r="K50" s="397"/>
      <c r="L50" s="397"/>
      <c r="M50" s="397"/>
      <c r="N50" s="397"/>
      <c r="O50" s="397"/>
      <c r="P50" s="397"/>
      <c r="Q50" s="397"/>
      <c r="R50" s="397"/>
      <c r="S50" s="397"/>
    </row>
    <row r="51" spans="2:19" ht="13.5" thickBot="1" x14ac:dyDescent="0.35">
      <c r="B51" s="402" t="s">
        <v>574</v>
      </c>
      <c r="C51" s="403">
        <v>20</v>
      </c>
      <c r="D51" s="403">
        <v>46</v>
      </c>
      <c r="E51" s="403">
        <v>40</v>
      </c>
      <c r="F51" s="403">
        <v>35</v>
      </c>
      <c r="G51" s="403">
        <v>52</v>
      </c>
      <c r="H51" s="397"/>
      <c r="I51" s="397"/>
      <c r="J51" s="397"/>
      <c r="K51" s="397"/>
      <c r="L51" s="397"/>
      <c r="M51" s="397"/>
      <c r="N51" s="397"/>
      <c r="O51" s="397"/>
      <c r="P51" s="397"/>
      <c r="Q51" s="397"/>
      <c r="R51" s="397"/>
      <c r="S51" s="397"/>
    </row>
    <row r="52" spans="2:19" ht="13" x14ac:dyDescent="0.3">
      <c r="B52" s="404" t="s">
        <v>575</v>
      </c>
      <c r="C52" s="405"/>
      <c r="D52" s="405">
        <v>98.5</v>
      </c>
      <c r="E52" s="405">
        <v>98.5</v>
      </c>
      <c r="F52" s="405">
        <v>98.5</v>
      </c>
      <c r="G52" s="405">
        <v>98.5</v>
      </c>
      <c r="H52" s="397"/>
      <c r="I52" s="397"/>
      <c r="J52" s="397"/>
      <c r="K52" s="397"/>
      <c r="L52" s="397"/>
      <c r="M52" s="397"/>
      <c r="N52" s="397"/>
      <c r="O52" s="397"/>
      <c r="P52" s="397"/>
      <c r="Q52" s="397"/>
      <c r="R52" s="397"/>
      <c r="S52" s="397"/>
    </row>
    <row r="53" spans="2:19" ht="13.5" thickBot="1" x14ac:dyDescent="0.35">
      <c r="B53" s="402" t="s">
        <v>576</v>
      </c>
      <c r="C53" s="406">
        <v>16.8</v>
      </c>
      <c r="D53" s="406">
        <v>1.31</v>
      </c>
      <c r="E53" s="406">
        <v>2.57</v>
      </c>
      <c r="F53" s="406">
        <v>3.62</v>
      </c>
      <c r="G53" s="406">
        <v>0</v>
      </c>
      <c r="H53" s="397"/>
      <c r="I53" s="397"/>
      <c r="J53" s="397"/>
      <c r="K53" s="397"/>
      <c r="L53" s="397"/>
      <c r="M53" s="397"/>
      <c r="N53" s="397"/>
      <c r="O53" s="397"/>
      <c r="P53" s="397"/>
      <c r="Q53" s="397"/>
      <c r="R53" s="397"/>
      <c r="S53" s="397"/>
    </row>
    <row r="54" spans="2:19" ht="13" x14ac:dyDescent="0.3">
      <c r="B54" s="405" t="s">
        <v>577</v>
      </c>
      <c r="C54" s="407">
        <v>1159</v>
      </c>
      <c r="D54" s="407">
        <v>685</v>
      </c>
      <c r="E54" s="407">
        <v>738</v>
      </c>
      <c r="F54" s="407">
        <v>782</v>
      </c>
      <c r="G54" s="407">
        <v>632</v>
      </c>
      <c r="H54" s="397"/>
      <c r="I54" s="397"/>
      <c r="J54" s="397"/>
      <c r="K54" s="397"/>
      <c r="L54" s="397"/>
      <c r="M54" s="397"/>
      <c r="N54" s="397"/>
      <c r="O54" s="397"/>
      <c r="P54" s="397"/>
      <c r="Q54" s="397"/>
      <c r="R54" s="397"/>
      <c r="S54" s="397"/>
    </row>
    <row r="55" spans="2:19" ht="13.5" thickBot="1" x14ac:dyDescent="0.35">
      <c r="B55" s="408" t="s">
        <v>578</v>
      </c>
      <c r="C55" s="409">
        <v>150</v>
      </c>
      <c r="D55" s="409">
        <v>150</v>
      </c>
      <c r="E55" s="409">
        <v>150</v>
      </c>
      <c r="F55" s="409">
        <v>150</v>
      </c>
      <c r="G55" s="409">
        <v>150</v>
      </c>
      <c r="H55" s="397"/>
      <c r="I55" s="397"/>
      <c r="J55" s="397"/>
      <c r="K55" s="397"/>
      <c r="L55" s="397"/>
      <c r="M55" s="397"/>
      <c r="N55" s="397"/>
      <c r="O55" s="397"/>
      <c r="P55" s="397"/>
      <c r="Q55" s="397"/>
      <c r="R55" s="397"/>
      <c r="S55" s="397"/>
    </row>
    <row r="56" spans="2:19" ht="13.5" thickBot="1" x14ac:dyDescent="0.35">
      <c r="B56" s="410" t="s">
        <v>579</v>
      </c>
      <c r="C56" s="411">
        <f>SUM(C54:C55)</f>
        <v>1309</v>
      </c>
      <c r="D56" s="411">
        <f t="shared" ref="D56:G56" si="6">SUM(D54:D55)</f>
        <v>835</v>
      </c>
      <c r="E56" s="411">
        <f t="shared" si="6"/>
        <v>888</v>
      </c>
      <c r="F56" s="411">
        <f t="shared" si="6"/>
        <v>932</v>
      </c>
      <c r="G56" s="411">
        <f t="shared" si="6"/>
        <v>782</v>
      </c>
      <c r="H56" s="397"/>
      <c r="I56" s="397"/>
      <c r="J56" s="397"/>
      <c r="K56" s="397"/>
      <c r="L56" s="397"/>
      <c r="M56" s="397"/>
      <c r="N56" s="397"/>
      <c r="O56" s="397"/>
      <c r="P56" s="397"/>
      <c r="Q56" s="397"/>
      <c r="R56" s="397"/>
      <c r="S56" s="397"/>
    </row>
    <row r="57" spans="2:19" ht="13" x14ac:dyDescent="0.3">
      <c r="B57" s="397"/>
      <c r="C57" s="397"/>
      <c r="D57" s="397"/>
      <c r="E57" s="397"/>
      <c r="F57" s="397"/>
      <c r="G57" s="397"/>
      <c r="H57" s="397"/>
      <c r="I57" s="397"/>
      <c r="J57" s="397"/>
      <c r="K57" s="397"/>
      <c r="L57" s="397"/>
      <c r="M57" s="397"/>
      <c r="N57" s="397"/>
      <c r="O57" s="397"/>
      <c r="P57" s="397"/>
      <c r="Q57" s="397"/>
      <c r="R57" s="397"/>
      <c r="S57" s="397"/>
    </row>
    <row r="58" spans="2:19" ht="13" x14ac:dyDescent="0.3">
      <c r="B58" s="396" t="s">
        <v>580</v>
      </c>
      <c r="C58" s="397"/>
      <c r="D58" s="397"/>
      <c r="E58" s="397"/>
      <c r="F58" s="397"/>
      <c r="G58" s="397"/>
      <c r="H58" s="397"/>
      <c r="I58" s="397"/>
      <c r="J58" s="397"/>
      <c r="K58" s="397"/>
      <c r="L58" s="397"/>
      <c r="M58" s="397"/>
      <c r="N58" s="397"/>
      <c r="O58" s="397"/>
      <c r="P58" s="397"/>
      <c r="Q58" s="397"/>
      <c r="R58" s="397"/>
      <c r="S58" s="397"/>
    </row>
    <row r="59" spans="2:19" ht="12.75" customHeight="1" x14ac:dyDescent="0.3">
      <c r="B59" s="412" t="s">
        <v>581</v>
      </c>
      <c r="C59" s="622" t="s">
        <v>582</v>
      </c>
      <c r="D59" s="624" t="s">
        <v>583</v>
      </c>
      <c r="E59" s="625"/>
      <c r="F59" s="625"/>
      <c r="G59" s="626" t="s">
        <v>584</v>
      </c>
      <c r="H59" s="627"/>
      <c r="I59" s="626" t="s">
        <v>585</v>
      </c>
      <c r="J59" s="627"/>
      <c r="K59" s="626" t="s">
        <v>586</v>
      </c>
      <c r="L59" s="627"/>
      <c r="M59" s="626" t="s">
        <v>587</v>
      </c>
      <c r="N59" s="627"/>
      <c r="O59" s="626" t="s">
        <v>588</v>
      </c>
      <c r="P59" s="627"/>
      <c r="Q59" s="628" t="s">
        <v>589</v>
      </c>
      <c r="R59" s="397"/>
      <c r="S59" s="397"/>
    </row>
    <row r="60" spans="2:19" ht="26.5" thickBot="1" x14ac:dyDescent="0.35">
      <c r="B60" s="413"/>
      <c r="C60" s="623"/>
      <c r="D60" s="414"/>
      <c r="E60" s="414"/>
      <c r="F60" s="414"/>
      <c r="G60" s="415" t="s">
        <v>590</v>
      </c>
      <c r="H60" s="416" t="s">
        <v>591</v>
      </c>
      <c r="I60" s="415" t="s">
        <v>590</v>
      </c>
      <c r="J60" s="416" t="s">
        <v>591</v>
      </c>
      <c r="K60" s="415" t="s">
        <v>590</v>
      </c>
      <c r="L60" s="416" t="s">
        <v>591</v>
      </c>
      <c r="M60" s="415" t="s">
        <v>590</v>
      </c>
      <c r="N60" s="416" t="s">
        <v>591</v>
      </c>
      <c r="O60" s="415" t="s">
        <v>590</v>
      </c>
      <c r="P60" s="416" t="s">
        <v>591</v>
      </c>
      <c r="Q60" s="629"/>
      <c r="R60" s="397"/>
      <c r="S60" s="397"/>
    </row>
    <row r="61" spans="2:19" ht="13.5" thickBot="1" x14ac:dyDescent="0.35">
      <c r="B61" s="417" t="s">
        <v>592</v>
      </c>
      <c r="C61" s="418" t="s">
        <v>592</v>
      </c>
      <c r="D61" s="630" t="s">
        <v>593</v>
      </c>
      <c r="E61" s="631"/>
      <c r="F61" s="631"/>
      <c r="G61" s="419" t="s">
        <v>594</v>
      </c>
      <c r="H61" s="420" t="s">
        <v>594</v>
      </c>
      <c r="I61" s="419" t="s">
        <v>594</v>
      </c>
      <c r="J61" s="420" t="s">
        <v>594</v>
      </c>
      <c r="K61" s="419" t="s">
        <v>594</v>
      </c>
      <c r="L61" s="420" t="s">
        <v>594</v>
      </c>
      <c r="M61" s="419" t="s">
        <v>594</v>
      </c>
      <c r="N61" s="420" t="s">
        <v>594</v>
      </c>
      <c r="O61" s="419" t="s">
        <v>594</v>
      </c>
      <c r="P61" s="420" t="s">
        <v>594</v>
      </c>
      <c r="Q61" s="421" t="s">
        <v>594</v>
      </c>
      <c r="R61" s="397"/>
      <c r="S61" s="397"/>
    </row>
    <row r="62" spans="2:19" ht="13" x14ac:dyDescent="0.3">
      <c r="B62" s="422" t="s">
        <v>595</v>
      </c>
      <c r="C62" s="423" t="s">
        <v>596</v>
      </c>
      <c r="D62" s="632" t="s">
        <v>593</v>
      </c>
      <c r="E62" s="633"/>
      <c r="F62" s="633"/>
      <c r="G62" s="424"/>
      <c r="H62" s="425"/>
      <c r="I62" s="424"/>
      <c r="J62" s="425"/>
      <c r="K62" s="424"/>
      <c r="L62" s="425"/>
      <c r="M62" s="424"/>
      <c r="N62" s="425"/>
      <c r="O62" s="426"/>
      <c r="P62" s="427"/>
      <c r="Q62" s="428"/>
      <c r="R62" s="397"/>
      <c r="S62" s="397"/>
    </row>
    <row r="63" spans="2:19" ht="13" x14ac:dyDescent="0.3">
      <c r="B63" s="429" t="s">
        <v>597</v>
      </c>
      <c r="C63" s="430" t="s">
        <v>596</v>
      </c>
      <c r="D63" s="620" t="s">
        <v>598</v>
      </c>
      <c r="E63" s="621"/>
      <c r="F63" s="621"/>
      <c r="G63" s="431">
        <v>150</v>
      </c>
      <c r="H63" s="432"/>
      <c r="I63" s="431">
        <v>20</v>
      </c>
      <c r="J63" s="432"/>
      <c r="K63" s="431"/>
      <c r="L63" s="432"/>
      <c r="M63" s="433">
        <f>I63*C53/100</f>
        <v>3.36</v>
      </c>
      <c r="N63" s="432"/>
      <c r="O63" s="562">
        <f>I63*G63/1000000*C56</f>
        <v>3.927</v>
      </c>
      <c r="P63" s="563"/>
      <c r="Q63" s="564">
        <f t="shared" ref="Q63:Q65" si="7">SUM(O63:P63)</f>
        <v>3.927</v>
      </c>
      <c r="R63" s="397"/>
      <c r="S63" s="397"/>
    </row>
    <row r="64" spans="2:19" ht="13" x14ac:dyDescent="0.3">
      <c r="B64" s="429" t="s">
        <v>599</v>
      </c>
      <c r="C64" s="430" t="s">
        <v>596</v>
      </c>
      <c r="D64" s="620" t="s">
        <v>600</v>
      </c>
      <c r="E64" s="621"/>
      <c r="F64" s="621"/>
      <c r="G64" s="431"/>
      <c r="H64" s="432">
        <v>120</v>
      </c>
      <c r="I64" s="431"/>
      <c r="J64" s="432">
        <v>155</v>
      </c>
      <c r="K64" s="431"/>
      <c r="L64" s="434">
        <f>J64*D52/100</f>
        <v>152.67500000000001</v>
      </c>
      <c r="M64" s="431"/>
      <c r="N64" s="434">
        <f>J64*D53/100</f>
        <v>2.0305</v>
      </c>
      <c r="O64" s="562"/>
      <c r="P64" s="563">
        <f>J64*H64/1000000*D56</f>
        <v>15.530999999999999</v>
      </c>
      <c r="Q64" s="564">
        <f t="shared" si="7"/>
        <v>15.530999999999999</v>
      </c>
      <c r="R64" s="397"/>
      <c r="S64" s="397"/>
    </row>
    <row r="65" spans="2:19" ht="13.5" customHeight="1" thickBot="1" x14ac:dyDescent="0.35">
      <c r="B65" s="435" t="s">
        <v>601</v>
      </c>
      <c r="C65" s="436" t="s">
        <v>596</v>
      </c>
      <c r="D65" s="636" t="s">
        <v>602</v>
      </c>
      <c r="E65" s="637"/>
      <c r="F65" s="637"/>
      <c r="G65" s="437">
        <v>150</v>
      </c>
      <c r="H65" s="438">
        <v>90</v>
      </c>
      <c r="I65" s="437">
        <v>20</v>
      </c>
      <c r="J65" s="438">
        <v>155</v>
      </c>
      <c r="K65" s="437"/>
      <c r="L65" s="434">
        <f>J65*D52/100</f>
        <v>152.67500000000001</v>
      </c>
      <c r="M65" s="433">
        <f>I65*C53/100</f>
        <v>3.36</v>
      </c>
      <c r="N65" s="434">
        <f>J65*D53/100</f>
        <v>2.0305</v>
      </c>
      <c r="O65" s="565">
        <f>I65*G65/1000000*C56</f>
        <v>3.927</v>
      </c>
      <c r="P65" s="566">
        <f>J65*H65/1000000*D56</f>
        <v>11.648250000000001</v>
      </c>
      <c r="Q65" s="567">
        <f t="shared" si="7"/>
        <v>15.57525</v>
      </c>
      <c r="R65" s="397"/>
      <c r="S65" s="397"/>
    </row>
    <row r="66" spans="2:19" ht="13" x14ac:dyDescent="0.3">
      <c r="B66" s="439" t="s">
        <v>603</v>
      </c>
      <c r="C66" s="440" t="s">
        <v>604</v>
      </c>
      <c r="D66" s="638" t="s">
        <v>593</v>
      </c>
      <c r="E66" s="639"/>
      <c r="F66" s="639"/>
      <c r="G66" s="441"/>
      <c r="H66" s="442"/>
      <c r="I66" s="441"/>
      <c r="J66" s="442"/>
      <c r="K66" s="441"/>
      <c r="L66" s="442"/>
      <c r="M66" s="441"/>
      <c r="N66" s="442"/>
      <c r="O66" s="568"/>
      <c r="P66" s="569"/>
      <c r="Q66" s="570"/>
      <c r="R66" s="397"/>
      <c r="S66" s="397"/>
    </row>
    <row r="67" spans="2:19" ht="13" x14ac:dyDescent="0.3">
      <c r="B67" s="443" t="s">
        <v>605</v>
      </c>
      <c r="C67" s="444" t="s">
        <v>604</v>
      </c>
      <c r="D67" s="640" t="s">
        <v>598</v>
      </c>
      <c r="E67" s="641"/>
      <c r="F67" s="641"/>
      <c r="G67" s="445">
        <v>150</v>
      </c>
      <c r="H67" s="446"/>
      <c r="I67" s="445">
        <v>60</v>
      </c>
      <c r="J67" s="446"/>
      <c r="K67" s="445"/>
      <c r="L67" s="446"/>
      <c r="M67" s="447">
        <f>I67*C53/100</f>
        <v>10.08</v>
      </c>
      <c r="N67" s="446"/>
      <c r="O67" s="571">
        <f>I67*G67/1000000*C56</f>
        <v>11.780999999999999</v>
      </c>
      <c r="P67" s="572"/>
      <c r="Q67" s="573">
        <f t="shared" ref="Q67:Q69" si="8">SUM(O67:P67)</f>
        <v>11.780999999999999</v>
      </c>
      <c r="R67" s="397"/>
      <c r="S67" s="397"/>
    </row>
    <row r="68" spans="2:19" ht="13" x14ac:dyDescent="0.3">
      <c r="B68" s="443" t="s">
        <v>606</v>
      </c>
      <c r="C68" s="444" t="s">
        <v>604</v>
      </c>
      <c r="D68" s="640" t="s">
        <v>600</v>
      </c>
      <c r="E68" s="641"/>
      <c r="F68" s="641"/>
      <c r="G68" s="445"/>
      <c r="H68" s="446">
        <v>150</v>
      </c>
      <c r="I68" s="445"/>
      <c r="J68" s="446">
        <v>155</v>
      </c>
      <c r="K68" s="445"/>
      <c r="L68" s="448">
        <f>J68*E52/100</f>
        <v>152.67500000000001</v>
      </c>
      <c r="M68" s="445"/>
      <c r="N68" s="448">
        <f>J68*E53/100</f>
        <v>3.9834999999999998</v>
      </c>
      <c r="O68" s="571"/>
      <c r="P68" s="572">
        <f>J68*H68/1000000*E56</f>
        <v>20.646000000000001</v>
      </c>
      <c r="Q68" s="573">
        <f t="shared" si="8"/>
        <v>20.646000000000001</v>
      </c>
      <c r="R68" s="397"/>
      <c r="S68" s="397"/>
    </row>
    <row r="69" spans="2:19" ht="13.5" customHeight="1" thickBot="1" x14ac:dyDescent="0.35">
      <c r="B69" s="449" t="s">
        <v>607</v>
      </c>
      <c r="C69" s="450" t="s">
        <v>604</v>
      </c>
      <c r="D69" s="642" t="s">
        <v>602</v>
      </c>
      <c r="E69" s="643"/>
      <c r="F69" s="643"/>
      <c r="G69" s="451">
        <v>150</v>
      </c>
      <c r="H69" s="452">
        <v>120</v>
      </c>
      <c r="I69" s="451">
        <v>60</v>
      </c>
      <c r="J69" s="452">
        <v>155</v>
      </c>
      <c r="K69" s="451"/>
      <c r="L69" s="453">
        <f>J69*E52/100</f>
        <v>152.67500000000001</v>
      </c>
      <c r="M69" s="454">
        <f>I69*C53/100</f>
        <v>10.08</v>
      </c>
      <c r="N69" s="453">
        <f>J69*E53/100</f>
        <v>3.9834999999999998</v>
      </c>
      <c r="O69" s="574">
        <f>I69*G69/1000000*C56</f>
        <v>11.780999999999999</v>
      </c>
      <c r="P69" s="575">
        <f>J69*H69/1000000*E56</f>
        <v>16.5168</v>
      </c>
      <c r="Q69" s="576">
        <f t="shared" si="8"/>
        <v>28.297799999999999</v>
      </c>
      <c r="R69" s="397"/>
      <c r="S69" s="397"/>
    </row>
    <row r="70" spans="2:19" ht="13" x14ac:dyDescent="0.3">
      <c r="B70" s="455" t="s">
        <v>608</v>
      </c>
      <c r="C70" s="456" t="s">
        <v>609</v>
      </c>
      <c r="D70" s="644" t="s">
        <v>593</v>
      </c>
      <c r="E70" s="645"/>
      <c r="F70" s="645"/>
      <c r="G70" s="457"/>
      <c r="H70" s="458"/>
      <c r="I70" s="457"/>
      <c r="J70" s="458"/>
      <c r="K70" s="457"/>
      <c r="L70" s="458"/>
      <c r="M70" s="457"/>
      <c r="N70" s="458"/>
      <c r="O70" s="577"/>
      <c r="P70" s="578"/>
      <c r="Q70" s="579"/>
      <c r="R70" s="397"/>
      <c r="S70" s="397"/>
    </row>
    <row r="71" spans="2:19" ht="13" x14ac:dyDescent="0.3">
      <c r="B71" s="459" t="s">
        <v>610</v>
      </c>
      <c r="C71" s="460" t="s">
        <v>609</v>
      </c>
      <c r="D71" s="646" t="s">
        <v>598</v>
      </c>
      <c r="E71" s="647"/>
      <c r="F71" s="647"/>
      <c r="G71" s="461">
        <v>150</v>
      </c>
      <c r="H71" s="462"/>
      <c r="I71" s="461">
        <v>81</v>
      </c>
      <c r="J71" s="462"/>
      <c r="K71" s="461"/>
      <c r="L71" s="462"/>
      <c r="M71" s="463">
        <f>I71*C53/100</f>
        <v>13.607999999999999</v>
      </c>
      <c r="N71" s="462"/>
      <c r="O71" s="580">
        <f>I71*G71/1000000*C56</f>
        <v>15.904349999999999</v>
      </c>
      <c r="P71" s="581"/>
      <c r="Q71" s="582">
        <f t="shared" ref="Q71:Q73" si="9">SUM(O71:P71)</f>
        <v>15.904349999999999</v>
      </c>
      <c r="R71" s="397"/>
      <c r="S71" s="397"/>
    </row>
    <row r="72" spans="2:19" ht="13" x14ac:dyDescent="0.3">
      <c r="B72" s="459" t="s">
        <v>611</v>
      </c>
      <c r="C72" s="460" t="s">
        <v>609</v>
      </c>
      <c r="D72" s="646" t="s">
        <v>600</v>
      </c>
      <c r="E72" s="647"/>
      <c r="F72" s="647"/>
      <c r="G72" s="461"/>
      <c r="H72" s="462">
        <v>180</v>
      </c>
      <c r="I72" s="461"/>
      <c r="J72" s="462">
        <v>155</v>
      </c>
      <c r="K72" s="461"/>
      <c r="L72" s="464">
        <f>J72*F52/100</f>
        <v>152.67500000000001</v>
      </c>
      <c r="M72" s="461"/>
      <c r="N72" s="464">
        <f>J72*F53/100</f>
        <v>5.6110000000000007</v>
      </c>
      <c r="O72" s="580"/>
      <c r="P72" s="581">
        <f>J72*H72/1000000*F56</f>
        <v>26.002800000000001</v>
      </c>
      <c r="Q72" s="582">
        <f t="shared" si="9"/>
        <v>26.002800000000001</v>
      </c>
      <c r="R72" s="397"/>
      <c r="S72" s="397"/>
    </row>
    <row r="73" spans="2:19" ht="12.75" customHeight="1" x14ac:dyDescent="0.3">
      <c r="B73" s="459" t="s">
        <v>612</v>
      </c>
      <c r="C73" s="460" t="s">
        <v>609</v>
      </c>
      <c r="D73" s="646" t="s">
        <v>602</v>
      </c>
      <c r="E73" s="647"/>
      <c r="F73" s="647"/>
      <c r="G73" s="461">
        <v>150</v>
      </c>
      <c r="H73" s="462">
        <v>150</v>
      </c>
      <c r="I73" s="461">
        <v>81</v>
      </c>
      <c r="J73" s="462">
        <v>155</v>
      </c>
      <c r="K73" s="461"/>
      <c r="L73" s="464">
        <f>J73*F52/100</f>
        <v>152.67500000000001</v>
      </c>
      <c r="M73" s="463">
        <f>I73*C53/100</f>
        <v>13.607999999999999</v>
      </c>
      <c r="N73" s="464">
        <f>J73*F53/100</f>
        <v>5.6110000000000007</v>
      </c>
      <c r="O73" s="580">
        <f>I73*G73/1000000*C56</f>
        <v>15.904349999999999</v>
      </c>
      <c r="P73" s="581">
        <f>J73*H73/1000000*F56</f>
        <v>21.669</v>
      </c>
      <c r="Q73" s="582">
        <f t="shared" si="9"/>
        <v>37.573349999999998</v>
      </c>
      <c r="R73" s="397"/>
      <c r="S73" s="397"/>
    </row>
    <row r="74" spans="2:19" ht="13" x14ac:dyDescent="0.3">
      <c r="B74" s="397"/>
      <c r="C74" s="397"/>
      <c r="D74" s="397"/>
      <c r="E74" s="397"/>
      <c r="F74" s="397"/>
      <c r="G74" s="397"/>
      <c r="H74" s="397"/>
      <c r="I74" s="397"/>
      <c r="J74" s="397"/>
      <c r="K74" s="397"/>
      <c r="L74" s="397"/>
      <c r="M74" s="397"/>
      <c r="N74" s="397"/>
      <c r="O74" s="397"/>
      <c r="P74" s="397"/>
      <c r="Q74" s="397"/>
      <c r="R74" s="397"/>
      <c r="S74" s="397"/>
    </row>
    <row r="75" spans="2:19" ht="13" x14ac:dyDescent="0.3">
      <c r="B75" s="396" t="s">
        <v>613</v>
      </c>
      <c r="C75" s="397"/>
      <c r="D75" s="397"/>
      <c r="E75" s="397"/>
      <c r="F75" s="397"/>
      <c r="G75" s="397"/>
      <c r="H75" s="397"/>
      <c r="I75" s="397"/>
      <c r="J75" s="397"/>
      <c r="K75" s="397"/>
      <c r="L75" s="397"/>
      <c r="M75" s="397"/>
      <c r="N75" s="397"/>
      <c r="O75" s="397"/>
      <c r="P75" s="397"/>
      <c r="Q75" s="397"/>
      <c r="R75" s="397"/>
      <c r="S75" s="397"/>
    </row>
    <row r="76" spans="2:19" ht="13" x14ac:dyDescent="0.3">
      <c r="B76" s="396" t="s">
        <v>614</v>
      </c>
      <c r="C76" s="397"/>
      <c r="D76" s="397"/>
      <c r="E76" s="397"/>
      <c r="F76" s="397"/>
      <c r="G76" s="397"/>
      <c r="H76" s="397"/>
      <c r="I76" s="397"/>
      <c r="J76" s="397"/>
      <c r="K76" s="397"/>
      <c r="L76" s="397"/>
      <c r="M76" s="397"/>
      <c r="N76" s="397"/>
      <c r="O76" s="397"/>
      <c r="P76" s="397"/>
      <c r="Q76" s="397"/>
      <c r="R76" s="397"/>
      <c r="S76" s="397"/>
    </row>
    <row r="77" spans="2:19" ht="39" x14ac:dyDescent="0.3">
      <c r="B77" s="399" t="s">
        <v>615</v>
      </c>
      <c r="C77" s="399" t="s">
        <v>616</v>
      </c>
      <c r="D77" s="399" t="s">
        <v>617</v>
      </c>
      <c r="E77" s="399" t="s">
        <v>665</v>
      </c>
      <c r="F77" s="399" t="s">
        <v>666</v>
      </c>
      <c r="G77" s="399" t="s">
        <v>667</v>
      </c>
      <c r="H77" s="399" t="s">
        <v>618</v>
      </c>
      <c r="I77" s="399" t="s">
        <v>619</v>
      </c>
      <c r="J77" s="648" t="s">
        <v>620</v>
      </c>
      <c r="K77" s="649"/>
      <c r="L77" s="649"/>
      <c r="M77" s="649"/>
      <c r="N77" s="649"/>
      <c r="O77" s="649"/>
      <c r="P77" s="397"/>
      <c r="Q77" s="397"/>
      <c r="R77" s="397"/>
      <c r="S77" s="397"/>
    </row>
    <row r="78" spans="2:19" ht="13" x14ac:dyDescent="0.3">
      <c r="B78" s="465" t="s">
        <v>621</v>
      </c>
      <c r="C78" s="466" t="s">
        <v>596</v>
      </c>
      <c r="D78" s="466" t="s">
        <v>622</v>
      </c>
      <c r="E78" s="467">
        <v>450</v>
      </c>
      <c r="F78" s="468">
        <v>400</v>
      </c>
      <c r="G78" s="466">
        <v>0.6</v>
      </c>
      <c r="H78" s="469" t="s">
        <v>623</v>
      </c>
      <c r="I78" s="470" t="s">
        <v>624</v>
      </c>
      <c r="J78" s="650" t="s">
        <v>668</v>
      </c>
      <c r="K78" s="651"/>
      <c r="L78" s="651"/>
      <c r="M78" s="651"/>
      <c r="N78" s="651"/>
      <c r="O78" s="651"/>
      <c r="P78" s="397"/>
      <c r="Q78" s="397"/>
      <c r="R78" s="397"/>
      <c r="S78" s="397"/>
    </row>
    <row r="79" spans="2:19" ht="13.5" thickBot="1" x14ac:dyDescent="0.35">
      <c r="B79" s="471" t="s">
        <v>625</v>
      </c>
      <c r="C79" s="472" t="s">
        <v>596</v>
      </c>
      <c r="D79" s="472" t="s">
        <v>626</v>
      </c>
      <c r="E79" s="473">
        <v>450</v>
      </c>
      <c r="F79" s="474">
        <v>400</v>
      </c>
      <c r="G79" s="472">
        <v>0</v>
      </c>
      <c r="H79" s="475" t="s">
        <v>627</v>
      </c>
      <c r="I79" s="476" t="s">
        <v>628</v>
      </c>
      <c r="J79" s="634" t="s">
        <v>668</v>
      </c>
      <c r="K79" s="635"/>
      <c r="L79" s="635"/>
      <c r="M79" s="635"/>
      <c r="N79" s="635"/>
      <c r="O79" s="635"/>
      <c r="P79" s="397"/>
      <c r="Q79" s="397"/>
      <c r="R79" s="397"/>
      <c r="S79" s="397"/>
    </row>
    <row r="80" spans="2:19" ht="13" x14ac:dyDescent="0.3">
      <c r="B80" s="477" t="s">
        <v>621</v>
      </c>
      <c r="C80" s="478" t="s">
        <v>604</v>
      </c>
      <c r="D80" s="478" t="s">
        <v>622</v>
      </c>
      <c r="E80" s="479">
        <v>450</v>
      </c>
      <c r="F80" s="480">
        <v>400</v>
      </c>
      <c r="G80" s="478">
        <v>0.6</v>
      </c>
      <c r="H80" s="481" t="s">
        <v>629</v>
      </c>
      <c r="I80" s="482">
        <v>10.1</v>
      </c>
      <c r="J80" s="654" t="s">
        <v>668</v>
      </c>
      <c r="K80" s="655"/>
      <c r="L80" s="655"/>
      <c r="M80" s="655"/>
      <c r="N80" s="655"/>
      <c r="O80" s="655"/>
      <c r="P80" s="397"/>
      <c r="Q80" s="397"/>
      <c r="R80" s="397"/>
      <c r="S80" s="397"/>
    </row>
    <row r="81" spans="2:23" ht="13.5" thickBot="1" x14ac:dyDescent="0.35">
      <c r="B81" s="483" t="s">
        <v>625</v>
      </c>
      <c r="C81" s="484" t="s">
        <v>604</v>
      </c>
      <c r="D81" s="484" t="s">
        <v>626</v>
      </c>
      <c r="E81" s="485">
        <v>450</v>
      </c>
      <c r="F81" s="486">
        <v>400</v>
      </c>
      <c r="G81" s="484" t="s">
        <v>630</v>
      </c>
      <c r="H81" s="487" t="s">
        <v>631</v>
      </c>
      <c r="I81" s="488">
        <v>3.9</v>
      </c>
      <c r="J81" s="656" t="s">
        <v>668</v>
      </c>
      <c r="K81" s="657"/>
      <c r="L81" s="657"/>
      <c r="M81" s="657"/>
      <c r="N81" s="657"/>
      <c r="O81" s="657"/>
      <c r="P81" s="397"/>
      <c r="Q81" s="397"/>
      <c r="R81" s="397"/>
      <c r="S81" s="397"/>
    </row>
    <row r="82" spans="2:23" ht="13" x14ac:dyDescent="0.3">
      <c r="B82" s="489" t="s">
        <v>621</v>
      </c>
      <c r="C82" s="490" t="s">
        <v>609</v>
      </c>
      <c r="D82" s="490" t="s">
        <v>622</v>
      </c>
      <c r="E82" s="491">
        <v>450</v>
      </c>
      <c r="F82" s="492">
        <v>400</v>
      </c>
      <c r="G82" s="490">
        <v>0.6</v>
      </c>
      <c r="H82" s="493" t="s">
        <v>632</v>
      </c>
      <c r="I82" s="494">
        <v>13.5</v>
      </c>
      <c r="J82" s="658" t="s">
        <v>668</v>
      </c>
      <c r="K82" s="659"/>
      <c r="L82" s="659"/>
      <c r="M82" s="659"/>
      <c r="N82" s="659"/>
      <c r="O82" s="659"/>
      <c r="P82" s="397"/>
      <c r="Q82" s="397"/>
      <c r="R82" s="397"/>
      <c r="S82" s="397"/>
    </row>
    <row r="83" spans="2:23" ht="13" x14ac:dyDescent="0.3">
      <c r="B83" s="495" t="s">
        <v>625</v>
      </c>
      <c r="C83" s="496" t="s">
        <v>609</v>
      </c>
      <c r="D83" s="496" t="s">
        <v>626</v>
      </c>
      <c r="E83" s="497">
        <v>450</v>
      </c>
      <c r="F83" s="498">
        <v>400</v>
      </c>
      <c r="G83" s="496">
        <v>0</v>
      </c>
      <c r="H83" s="499" t="s">
        <v>633</v>
      </c>
      <c r="I83" s="500">
        <v>5.6</v>
      </c>
      <c r="J83" s="660" t="s">
        <v>668</v>
      </c>
      <c r="K83" s="661"/>
      <c r="L83" s="661"/>
      <c r="M83" s="661"/>
      <c r="N83" s="661"/>
      <c r="O83" s="661"/>
      <c r="P83" s="397"/>
      <c r="Q83" s="397"/>
      <c r="R83" s="397"/>
      <c r="S83" s="397"/>
    </row>
    <row r="84" spans="2:23" ht="13" x14ac:dyDescent="0.3">
      <c r="B84" s="397"/>
      <c r="C84" s="397"/>
      <c r="D84" s="397"/>
      <c r="E84" s="397"/>
      <c r="F84" s="397"/>
      <c r="G84" s="397"/>
      <c r="H84" s="397"/>
      <c r="I84" s="397"/>
      <c r="J84" s="397"/>
      <c r="K84" s="397"/>
      <c r="L84" s="397"/>
      <c r="M84" s="397"/>
      <c r="N84" s="397"/>
      <c r="O84" s="397"/>
      <c r="P84" s="397"/>
      <c r="Q84" s="397"/>
      <c r="R84" s="397"/>
      <c r="S84" s="397"/>
    </row>
    <row r="85" spans="2:23" ht="13" x14ac:dyDescent="0.3">
      <c r="B85" s="396" t="s">
        <v>634</v>
      </c>
      <c r="C85" s="397"/>
      <c r="D85" s="397"/>
      <c r="E85" s="397"/>
      <c r="F85" s="397"/>
      <c r="G85" s="397"/>
      <c r="H85" s="397"/>
      <c r="I85" s="397"/>
      <c r="J85" s="397"/>
      <c r="K85" s="397"/>
      <c r="L85" s="397"/>
      <c r="M85" s="397"/>
      <c r="N85" s="397"/>
      <c r="O85" s="397"/>
      <c r="P85" s="397"/>
      <c r="Q85" s="397"/>
      <c r="R85" s="397"/>
      <c r="S85" s="397"/>
    </row>
    <row r="86" spans="2:23" ht="13" x14ac:dyDescent="0.3">
      <c r="B86" s="397" t="s">
        <v>635</v>
      </c>
      <c r="C86" s="397"/>
      <c r="D86" s="397"/>
      <c r="E86" s="397"/>
      <c r="F86" s="397"/>
      <c r="G86" s="397"/>
      <c r="H86" s="397"/>
      <c r="I86" s="397"/>
      <c r="J86" s="397"/>
      <c r="K86" s="397"/>
      <c r="L86" s="397"/>
      <c r="M86" s="397"/>
      <c r="N86" s="397"/>
      <c r="O86" s="397"/>
      <c r="P86" s="397"/>
      <c r="Q86" s="397"/>
      <c r="R86" s="397"/>
      <c r="S86" s="397"/>
    </row>
    <row r="87" spans="2:23" ht="13" x14ac:dyDescent="0.3">
      <c r="B87" s="397"/>
      <c r="C87" s="397"/>
      <c r="D87" s="397"/>
      <c r="E87" s="397"/>
      <c r="F87" s="397"/>
      <c r="G87" s="397"/>
      <c r="H87" s="397"/>
      <c r="I87" s="397"/>
      <c r="J87" s="397"/>
      <c r="K87" s="397"/>
      <c r="L87" s="397"/>
      <c r="M87" s="397"/>
      <c r="N87" s="397"/>
      <c r="O87" s="397"/>
      <c r="P87" s="397"/>
      <c r="Q87" s="397"/>
      <c r="R87" s="397"/>
      <c r="S87" s="397"/>
    </row>
    <row r="90" spans="2:23" ht="13" x14ac:dyDescent="0.3">
      <c r="B90" s="396" t="s">
        <v>636</v>
      </c>
      <c r="C90" s="396"/>
      <c r="D90" s="396" t="s">
        <v>637</v>
      </c>
      <c r="E90" s="397" t="s">
        <v>368</v>
      </c>
      <c r="G90" s="397"/>
      <c r="H90" s="397"/>
      <c r="I90" s="397"/>
      <c r="J90" s="397"/>
      <c r="K90" s="397"/>
      <c r="L90" s="397"/>
      <c r="M90" s="397"/>
      <c r="N90" s="397"/>
      <c r="O90" s="397"/>
      <c r="P90" s="397"/>
      <c r="Q90" s="397"/>
      <c r="R90" s="397"/>
      <c r="S90" s="397"/>
      <c r="T90" s="397"/>
      <c r="U90" s="397"/>
      <c r="V90" s="397"/>
      <c r="W90" s="397"/>
    </row>
    <row r="91" spans="2:23" ht="13" x14ac:dyDescent="0.3">
      <c r="B91" s="396"/>
      <c r="C91" s="396"/>
      <c r="D91" s="397"/>
      <c r="E91" s="397"/>
      <c r="F91" s="397"/>
      <c r="G91" s="397"/>
      <c r="H91" s="397"/>
      <c r="I91" s="397"/>
      <c r="J91" s="397"/>
      <c r="K91" s="397"/>
      <c r="L91" s="397"/>
      <c r="M91" s="397"/>
      <c r="N91" s="397"/>
      <c r="O91" s="397"/>
      <c r="P91" s="397"/>
      <c r="Q91" s="397"/>
      <c r="R91" s="397"/>
      <c r="S91" s="397"/>
      <c r="T91" s="397"/>
      <c r="U91" s="397"/>
      <c r="V91" s="397"/>
      <c r="W91" s="397"/>
    </row>
    <row r="92" spans="2:23" ht="13" x14ac:dyDescent="0.3">
      <c r="B92" s="396" t="s">
        <v>638</v>
      </c>
      <c r="C92" s="396"/>
      <c r="D92" s="397"/>
      <c r="E92" s="397"/>
      <c r="F92" s="397"/>
      <c r="G92" s="397"/>
      <c r="H92" s="397"/>
      <c r="I92" s="397"/>
      <c r="J92" s="397"/>
      <c r="K92" s="397"/>
      <c r="L92" s="397"/>
      <c r="M92" s="397"/>
      <c r="N92" s="397"/>
      <c r="O92" s="397"/>
      <c r="P92" s="397"/>
      <c r="Q92" s="397"/>
      <c r="R92" s="397"/>
      <c r="S92" s="397"/>
      <c r="T92" s="397"/>
      <c r="U92" s="397"/>
      <c r="V92" s="397"/>
      <c r="W92" s="397"/>
    </row>
    <row r="93" spans="2:23" ht="13" x14ac:dyDescent="0.3">
      <c r="B93" s="396" t="s">
        <v>562</v>
      </c>
      <c r="C93" s="396"/>
      <c r="D93" s="397"/>
      <c r="E93" s="397"/>
      <c r="F93" s="397"/>
      <c r="G93" s="397"/>
      <c r="H93" s="397"/>
      <c r="I93" s="397"/>
      <c r="J93" s="397"/>
      <c r="K93" s="397"/>
      <c r="L93" s="397"/>
      <c r="M93" s="397"/>
      <c r="N93" s="397"/>
      <c r="O93" s="397"/>
      <c r="P93" s="397"/>
      <c r="Q93" s="397"/>
      <c r="R93" s="397"/>
      <c r="S93" s="397"/>
      <c r="T93" s="397"/>
      <c r="U93" s="397"/>
      <c r="V93" s="397"/>
      <c r="W93" s="397"/>
    </row>
    <row r="94" spans="2:23" ht="13" x14ac:dyDescent="0.3">
      <c r="B94" s="396"/>
      <c r="C94" s="396"/>
      <c r="D94" s="397"/>
      <c r="E94" s="397"/>
      <c r="F94" s="397"/>
      <c r="G94" s="397"/>
      <c r="H94" s="397"/>
      <c r="I94" s="397"/>
      <c r="J94" s="397"/>
      <c r="K94" s="397"/>
      <c r="L94" s="397"/>
      <c r="M94" s="397"/>
      <c r="N94" s="397"/>
      <c r="O94" s="397"/>
      <c r="P94" s="397"/>
      <c r="Q94" s="397"/>
      <c r="R94" s="397"/>
      <c r="S94" s="397"/>
      <c r="T94" s="397"/>
      <c r="U94" s="397"/>
      <c r="V94" s="397"/>
      <c r="W94" s="397"/>
    </row>
    <row r="95" spans="2:23" ht="13" x14ac:dyDescent="0.3">
      <c r="B95" s="396" t="s">
        <v>639</v>
      </c>
      <c r="C95" s="396"/>
      <c r="D95" s="397"/>
      <c r="E95" s="397"/>
      <c r="F95" s="397"/>
      <c r="G95" s="397"/>
      <c r="H95" s="501"/>
      <c r="I95" s="501"/>
      <c r="J95" s="502"/>
      <c r="K95" s="502"/>
      <c r="L95" s="502"/>
      <c r="M95" s="397"/>
      <c r="N95" s="397"/>
      <c r="O95" s="397"/>
      <c r="P95" s="397"/>
      <c r="Q95" s="397"/>
      <c r="R95" s="397"/>
      <c r="S95" s="397"/>
      <c r="T95" s="397"/>
      <c r="U95" s="397"/>
      <c r="V95" s="397"/>
      <c r="W95" s="397"/>
    </row>
    <row r="96" spans="2:23" ht="39" x14ac:dyDescent="0.3">
      <c r="B96" s="398" t="s">
        <v>564</v>
      </c>
      <c r="C96" s="503"/>
      <c r="D96" s="399" t="s">
        <v>640</v>
      </c>
      <c r="E96" s="504" t="s">
        <v>641</v>
      </c>
      <c r="F96" s="505"/>
      <c r="G96" s="506"/>
      <c r="H96" s="507"/>
      <c r="I96" s="507"/>
      <c r="J96" s="507"/>
      <c r="K96" s="508"/>
      <c r="L96" s="508"/>
      <c r="M96" s="397"/>
      <c r="N96" s="397"/>
      <c r="O96" s="397"/>
      <c r="P96" s="397"/>
      <c r="Q96" s="397"/>
      <c r="R96" s="397"/>
      <c r="S96" s="397"/>
      <c r="T96" s="397"/>
      <c r="U96" s="397"/>
      <c r="V96" s="397"/>
      <c r="W96" s="397"/>
    </row>
    <row r="97" spans="2:23" ht="13" x14ac:dyDescent="0.3">
      <c r="B97" s="400" t="s">
        <v>570</v>
      </c>
      <c r="C97" s="509"/>
      <c r="D97" s="401"/>
      <c r="E97" s="510">
        <v>30</v>
      </c>
      <c r="F97" s="511"/>
      <c r="G97" s="512"/>
      <c r="H97" s="502"/>
      <c r="I97" s="502"/>
      <c r="J97" s="502"/>
      <c r="K97" s="512"/>
      <c r="L97" s="512"/>
      <c r="M97" s="397"/>
      <c r="N97" s="397"/>
      <c r="O97" s="397"/>
      <c r="P97" s="397"/>
      <c r="Q97" s="397"/>
      <c r="R97" s="397"/>
      <c r="S97" s="397"/>
      <c r="T97" s="397"/>
      <c r="U97" s="397"/>
      <c r="V97" s="397"/>
      <c r="W97" s="397"/>
    </row>
    <row r="98" spans="2:23" ht="13" x14ac:dyDescent="0.3">
      <c r="B98" s="400" t="s">
        <v>571</v>
      </c>
      <c r="C98" s="509"/>
      <c r="D98" s="401"/>
      <c r="E98" s="510">
        <v>10</v>
      </c>
      <c r="F98" s="511"/>
      <c r="G98" s="512"/>
      <c r="H98" s="502"/>
      <c r="I98" s="502"/>
      <c r="J98" s="502"/>
      <c r="K98" s="512"/>
      <c r="L98" s="512"/>
      <c r="M98" s="397"/>
      <c r="N98" s="397"/>
      <c r="O98" s="397"/>
      <c r="P98" s="397"/>
      <c r="Q98" s="397"/>
      <c r="R98" s="397"/>
      <c r="S98" s="397"/>
      <c r="T98" s="397"/>
      <c r="U98" s="397"/>
      <c r="V98" s="397"/>
      <c r="W98" s="397"/>
    </row>
    <row r="99" spans="2:23" ht="13" x14ac:dyDescent="0.3">
      <c r="B99" s="400" t="s">
        <v>573</v>
      </c>
      <c r="C99" s="509"/>
      <c r="D99" s="401">
        <v>80</v>
      </c>
      <c r="E99" s="510">
        <v>20</v>
      </c>
      <c r="F99" s="511"/>
      <c r="G99" s="512"/>
      <c r="H99" s="502"/>
      <c r="I99" s="502"/>
      <c r="J99" s="502"/>
      <c r="K99" s="512"/>
      <c r="L99" s="512"/>
      <c r="M99" s="397"/>
      <c r="N99" s="397"/>
      <c r="O99" s="397"/>
      <c r="P99" s="397"/>
      <c r="Q99" s="397"/>
      <c r="R99" s="397"/>
      <c r="S99" s="397"/>
      <c r="T99" s="397"/>
      <c r="U99" s="397"/>
      <c r="V99" s="397"/>
      <c r="W99" s="397"/>
    </row>
    <row r="100" spans="2:23" ht="13.5" thickBot="1" x14ac:dyDescent="0.35">
      <c r="B100" s="402" t="s">
        <v>574</v>
      </c>
      <c r="C100" s="513"/>
      <c r="D100" s="403">
        <v>20</v>
      </c>
      <c r="E100" s="514">
        <v>40</v>
      </c>
      <c r="F100" s="511"/>
      <c r="G100" s="512"/>
      <c r="H100" s="502"/>
      <c r="I100" s="502"/>
      <c r="J100" s="502"/>
      <c r="K100" s="512"/>
      <c r="L100" s="512"/>
      <c r="M100" s="397"/>
      <c r="N100" s="397"/>
      <c r="O100" s="397"/>
      <c r="P100" s="397"/>
      <c r="Q100" s="397"/>
      <c r="R100" s="397"/>
      <c r="S100" s="397"/>
      <c r="T100" s="397"/>
      <c r="U100" s="397"/>
      <c r="V100" s="397"/>
      <c r="W100" s="397"/>
    </row>
    <row r="101" spans="2:23" ht="13" x14ac:dyDescent="0.3">
      <c r="B101" s="408" t="s">
        <v>575</v>
      </c>
      <c r="C101" s="515"/>
      <c r="D101" s="516"/>
      <c r="E101" s="517">
        <v>98.9</v>
      </c>
      <c r="F101" s="518"/>
      <c r="G101" s="519"/>
      <c r="H101" s="502"/>
      <c r="I101" s="502"/>
      <c r="J101" s="502"/>
      <c r="K101" s="502"/>
      <c r="L101" s="519"/>
      <c r="M101" s="397"/>
      <c r="N101" s="397"/>
      <c r="O101" s="397"/>
      <c r="P101" s="397"/>
      <c r="Q101" s="397"/>
      <c r="R101" s="397"/>
      <c r="S101" s="397"/>
      <c r="T101" s="397"/>
      <c r="U101" s="397"/>
      <c r="V101" s="397"/>
      <c r="W101" s="397"/>
    </row>
    <row r="102" spans="2:23" ht="13.5" thickBot="1" x14ac:dyDescent="0.35">
      <c r="B102" s="402" t="s">
        <v>576</v>
      </c>
      <c r="C102" s="513"/>
      <c r="D102" s="406">
        <v>16.8</v>
      </c>
      <c r="E102" s="520">
        <v>4.2</v>
      </c>
      <c r="F102" s="518"/>
      <c r="G102" s="519"/>
      <c r="H102" s="502"/>
      <c r="I102" s="502"/>
      <c r="J102" s="502"/>
      <c r="K102" s="502"/>
      <c r="L102" s="519"/>
      <c r="M102" s="397"/>
      <c r="N102" s="397"/>
      <c r="O102" s="397"/>
      <c r="P102" s="397"/>
      <c r="Q102" s="397"/>
      <c r="R102" s="397"/>
      <c r="S102" s="397"/>
      <c r="T102" s="397"/>
      <c r="U102" s="397"/>
      <c r="V102" s="397"/>
      <c r="W102" s="397"/>
    </row>
    <row r="103" spans="2:23" ht="13" x14ac:dyDescent="0.3">
      <c r="B103" s="404" t="s">
        <v>642</v>
      </c>
      <c r="C103" s="521"/>
      <c r="D103" s="522">
        <v>1170</v>
      </c>
      <c r="E103" s="523">
        <v>740</v>
      </c>
      <c r="F103" s="524"/>
      <c r="G103" s="525"/>
      <c r="H103" s="502"/>
      <c r="I103" s="502"/>
      <c r="J103" s="502"/>
      <c r="K103" s="525"/>
      <c r="L103" s="525"/>
      <c r="M103" s="397"/>
      <c r="N103" s="397"/>
      <c r="O103" s="397"/>
      <c r="P103" s="397"/>
      <c r="Q103" s="397"/>
      <c r="R103" s="397"/>
      <c r="S103" s="397"/>
      <c r="T103" s="397"/>
      <c r="U103" s="397"/>
      <c r="V103" s="397"/>
      <c r="W103" s="397"/>
    </row>
    <row r="104" spans="2:23" ht="13.5" thickBot="1" x14ac:dyDescent="0.35">
      <c r="B104" s="408" t="s">
        <v>643</v>
      </c>
      <c r="C104" s="526"/>
      <c r="D104" s="527">
        <v>170</v>
      </c>
      <c r="E104" s="524">
        <v>170</v>
      </c>
      <c r="F104" s="524"/>
      <c r="G104" s="525"/>
      <c r="H104" s="502"/>
      <c r="I104" s="502"/>
      <c r="J104" s="502"/>
      <c r="K104" s="525"/>
      <c r="L104" s="525"/>
      <c r="M104" s="397"/>
      <c r="N104" s="397"/>
      <c r="O104" s="397"/>
      <c r="P104" s="397"/>
      <c r="Q104" s="397"/>
      <c r="R104" s="397"/>
      <c r="S104" s="397"/>
      <c r="T104" s="397"/>
      <c r="U104" s="397"/>
      <c r="V104" s="397"/>
      <c r="W104" s="397"/>
    </row>
    <row r="105" spans="2:23" ht="13.5" thickBot="1" x14ac:dyDescent="0.35">
      <c r="B105" s="410" t="s">
        <v>579</v>
      </c>
      <c r="C105" s="528"/>
      <c r="D105" s="529">
        <f>SUM(D103:D104)</f>
        <v>1340</v>
      </c>
      <c r="E105" s="530">
        <f>SUM(E103:E104)</f>
        <v>910</v>
      </c>
      <c r="F105" s="531"/>
      <c r="G105" s="532"/>
      <c r="H105" s="501"/>
      <c r="I105" s="501"/>
      <c r="J105" s="501"/>
      <c r="K105" s="532"/>
      <c r="L105" s="532"/>
      <c r="M105" s="397"/>
      <c r="N105" s="397"/>
      <c r="O105" s="397"/>
      <c r="P105" s="397"/>
      <c r="Q105" s="397"/>
      <c r="R105" s="397"/>
      <c r="S105" s="397"/>
      <c r="T105" s="397"/>
      <c r="U105" s="397"/>
      <c r="V105" s="397"/>
      <c r="W105" s="397"/>
    </row>
    <row r="106" spans="2:23" ht="13" x14ac:dyDescent="0.3">
      <c r="B106" s="397"/>
      <c r="C106" s="397"/>
      <c r="D106" s="397"/>
      <c r="E106" s="397"/>
      <c r="F106" s="397"/>
      <c r="G106" s="397"/>
      <c r="H106" s="397"/>
      <c r="I106" s="397"/>
      <c r="J106" s="397"/>
      <c r="K106" s="397"/>
      <c r="L106" s="397"/>
      <c r="M106" s="397"/>
      <c r="N106" s="397"/>
      <c r="O106" s="397"/>
      <c r="P106" s="397"/>
      <c r="Q106" s="397"/>
      <c r="R106" s="397"/>
      <c r="S106" s="397"/>
      <c r="T106" s="397"/>
      <c r="U106" s="397"/>
      <c r="V106" s="397"/>
      <c r="W106" s="397"/>
    </row>
    <row r="107" spans="2:23" ht="13" x14ac:dyDescent="0.3">
      <c r="B107" s="397"/>
      <c r="C107" s="397"/>
      <c r="D107" s="397"/>
      <c r="E107" s="397"/>
      <c r="F107" s="397"/>
      <c r="G107" s="397"/>
      <c r="H107" s="397"/>
      <c r="I107" s="397"/>
      <c r="J107" s="397"/>
      <c r="K107" s="397"/>
      <c r="L107" s="397"/>
      <c r="M107" s="397"/>
      <c r="N107" s="397"/>
      <c r="O107" s="397"/>
      <c r="P107" s="397"/>
      <c r="Q107" s="397"/>
      <c r="R107" s="397"/>
      <c r="S107" s="397"/>
      <c r="T107" s="397"/>
      <c r="U107" s="397"/>
      <c r="V107" s="397"/>
      <c r="W107" s="397"/>
    </row>
    <row r="108" spans="2:23" ht="13" x14ac:dyDescent="0.3">
      <c r="B108" s="396" t="s">
        <v>644</v>
      </c>
      <c r="C108" s="396"/>
      <c r="D108" s="397"/>
      <c r="E108" s="397"/>
      <c r="F108" s="397"/>
      <c r="G108" s="397"/>
      <c r="H108" s="397"/>
      <c r="I108" s="397"/>
      <c r="J108" s="397"/>
      <c r="K108" s="397"/>
      <c r="L108" s="397"/>
      <c r="M108" s="397"/>
      <c r="N108" s="397"/>
      <c r="O108" s="397"/>
      <c r="P108" s="397"/>
      <c r="Q108" s="397"/>
      <c r="R108" s="397"/>
      <c r="S108" s="397"/>
      <c r="T108" s="397"/>
      <c r="U108" s="397"/>
      <c r="V108" s="397"/>
      <c r="W108" s="397"/>
    </row>
    <row r="109" spans="2:23" ht="12.75" customHeight="1" x14ac:dyDescent="0.3">
      <c r="B109" s="412" t="s">
        <v>581</v>
      </c>
      <c r="C109" s="626" t="s">
        <v>584</v>
      </c>
      <c r="D109" s="627"/>
      <c r="E109" s="626" t="s">
        <v>585</v>
      </c>
      <c r="F109" s="627"/>
      <c r="G109" s="626" t="s">
        <v>586</v>
      </c>
      <c r="H109" s="627"/>
      <c r="I109" s="626" t="s">
        <v>587</v>
      </c>
      <c r="J109" s="627"/>
      <c r="K109" s="626" t="s">
        <v>645</v>
      </c>
      <c r="L109" s="627"/>
      <c r="M109" s="652" t="s">
        <v>646</v>
      </c>
      <c r="N109" s="397"/>
      <c r="O109" s="397"/>
      <c r="P109" s="397"/>
      <c r="Q109" s="397"/>
      <c r="R109" s="397"/>
      <c r="S109" s="397"/>
      <c r="T109" s="397"/>
      <c r="U109" s="397"/>
      <c r="V109" s="397"/>
      <c r="W109" s="397"/>
    </row>
    <row r="110" spans="2:23" ht="26" x14ac:dyDescent="0.3">
      <c r="B110" s="413"/>
      <c r="C110" s="533" t="s">
        <v>590</v>
      </c>
      <c r="D110" s="534" t="s">
        <v>591</v>
      </c>
      <c r="E110" s="533" t="s">
        <v>590</v>
      </c>
      <c r="F110" s="534" t="s">
        <v>591</v>
      </c>
      <c r="G110" s="533" t="s">
        <v>590</v>
      </c>
      <c r="H110" s="534" t="s">
        <v>591</v>
      </c>
      <c r="I110" s="533" t="s">
        <v>590</v>
      </c>
      <c r="J110" s="534" t="s">
        <v>591</v>
      </c>
      <c r="K110" s="533" t="s">
        <v>590</v>
      </c>
      <c r="L110" s="534" t="s">
        <v>591</v>
      </c>
      <c r="M110" s="653"/>
      <c r="N110" s="397"/>
      <c r="O110" s="397"/>
      <c r="P110" s="397"/>
      <c r="Q110" s="397"/>
      <c r="R110" s="397"/>
      <c r="S110" s="397"/>
      <c r="T110" s="397"/>
      <c r="U110" s="397"/>
      <c r="V110" s="397"/>
      <c r="W110" s="397"/>
    </row>
    <row r="111" spans="2:23" ht="13" x14ac:dyDescent="0.3">
      <c r="B111" s="535" t="s">
        <v>647</v>
      </c>
      <c r="C111" s="536"/>
      <c r="D111" s="537"/>
      <c r="E111" s="536"/>
      <c r="F111" s="537"/>
      <c r="G111" s="536"/>
      <c r="H111" s="537"/>
      <c r="I111" s="536"/>
      <c r="J111" s="537"/>
      <c r="K111" s="538"/>
      <c r="L111" s="539"/>
      <c r="M111" s="540"/>
      <c r="N111" s="397"/>
      <c r="O111" s="397"/>
      <c r="P111" s="397"/>
      <c r="Q111" s="397"/>
      <c r="R111" s="397"/>
      <c r="S111" s="397"/>
      <c r="T111" s="397"/>
      <c r="U111" s="397"/>
      <c r="V111" s="397"/>
      <c r="W111" s="397"/>
    </row>
    <row r="112" spans="2:23" ht="13" x14ac:dyDescent="0.3">
      <c r="B112" s="535" t="s">
        <v>648</v>
      </c>
      <c r="C112" s="536"/>
      <c r="D112" s="537"/>
      <c r="E112" s="536"/>
      <c r="F112" s="537"/>
      <c r="G112" s="536"/>
      <c r="H112" s="537"/>
      <c r="I112" s="536"/>
      <c r="J112" s="537"/>
      <c r="K112" s="538"/>
      <c r="L112" s="539"/>
      <c r="M112" s="540"/>
      <c r="N112" s="397"/>
      <c r="O112" s="397"/>
      <c r="P112" s="397"/>
      <c r="Q112" s="397"/>
      <c r="R112" s="397"/>
      <c r="S112" s="397"/>
      <c r="T112" s="397"/>
      <c r="U112" s="397"/>
      <c r="V112" s="397"/>
      <c r="W112" s="397"/>
    </row>
    <row r="113" spans="2:23" ht="13" x14ac:dyDescent="0.3">
      <c r="B113" s="535" t="s">
        <v>2</v>
      </c>
      <c r="C113" s="536"/>
      <c r="D113" s="537"/>
      <c r="E113" s="536"/>
      <c r="F113" s="537"/>
      <c r="G113" s="536"/>
      <c r="H113" s="537"/>
      <c r="I113" s="536"/>
      <c r="J113" s="537"/>
      <c r="K113" s="538"/>
      <c r="L113" s="539"/>
      <c r="M113" s="540"/>
      <c r="N113" s="397"/>
      <c r="O113" s="397"/>
      <c r="P113" s="397"/>
      <c r="Q113" s="397"/>
      <c r="R113" s="397"/>
      <c r="S113" s="397"/>
      <c r="T113" s="397"/>
      <c r="U113" s="397"/>
      <c r="V113" s="397"/>
      <c r="W113" s="397"/>
    </row>
    <row r="114" spans="2:23" ht="13" x14ac:dyDescent="0.3">
      <c r="B114" s="397"/>
      <c r="C114" s="397"/>
      <c r="D114" s="397"/>
      <c r="E114" s="397"/>
      <c r="F114" s="397"/>
      <c r="G114" s="397"/>
      <c r="H114" s="397"/>
      <c r="I114" s="397"/>
      <c r="J114" s="397"/>
      <c r="K114" s="397"/>
      <c r="L114" s="397"/>
      <c r="M114" s="397"/>
      <c r="N114" s="397"/>
      <c r="O114" s="397"/>
      <c r="P114" s="397"/>
      <c r="Q114" s="397"/>
      <c r="R114" s="397"/>
      <c r="S114" s="397"/>
      <c r="T114" s="397"/>
      <c r="U114" s="397"/>
      <c r="V114" s="397"/>
      <c r="W114" s="397"/>
    </row>
    <row r="115" spans="2:23" ht="13" x14ac:dyDescent="0.3">
      <c r="B115" s="396" t="s">
        <v>649</v>
      </c>
      <c r="C115" s="396"/>
      <c r="D115" s="397"/>
      <c r="E115" s="397"/>
      <c r="F115" s="397"/>
      <c r="G115" s="397"/>
      <c r="H115" s="397"/>
      <c r="I115" s="397"/>
      <c r="J115" s="397"/>
      <c r="K115" s="397"/>
      <c r="L115" s="397"/>
      <c r="M115" s="397"/>
      <c r="N115" s="397"/>
      <c r="O115" s="397"/>
      <c r="P115" s="397"/>
      <c r="Q115" s="397"/>
      <c r="R115" s="397"/>
      <c r="S115" s="397"/>
      <c r="T115" s="397"/>
      <c r="U115" s="397"/>
      <c r="V115" s="397"/>
      <c r="W115" s="397"/>
    </row>
    <row r="116" spans="2:23" ht="12.75" customHeight="1" x14ac:dyDescent="0.3">
      <c r="B116" s="412" t="s">
        <v>581</v>
      </c>
      <c r="C116" s="626" t="s">
        <v>584</v>
      </c>
      <c r="D116" s="627"/>
      <c r="E116" s="626" t="s">
        <v>585</v>
      </c>
      <c r="F116" s="627"/>
      <c r="G116" s="626" t="s">
        <v>586</v>
      </c>
      <c r="H116" s="627"/>
      <c r="I116" s="626" t="s">
        <v>587</v>
      </c>
      <c r="J116" s="627"/>
      <c r="K116" s="626" t="s">
        <v>645</v>
      </c>
      <c r="L116" s="627"/>
      <c r="M116" s="652" t="s">
        <v>646</v>
      </c>
      <c r="N116" s="397"/>
      <c r="O116" s="397"/>
      <c r="P116" s="397"/>
      <c r="Q116" s="397"/>
      <c r="R116" s="397"/>
      <c r="S116" s="397"/>
      <c r="T116" s="397"/>
      <c r="U116" s="397"/>
      <c r="V116" s="397"/>
      <c r="W116" s="397"/>
    </row>
    <row r="117" spans="2:23" ht="26" x14ac:dyDescent="0.3">
      <c r="B117" s="413"/>
      <c r="C117" s="533" t="s">
        <v>590</v>
      </c>
      <c r="D117" s="534" t="s">
        <v>591</v>
      </c>
      <c r="E117" s="533" t="s">
        <v>590</v>
      </c>
      <c r="F117" s="534" t="s">
        <v>591</v>
      </c>
      <c r="G117" s="533" t="s">
        <v>590</v>
      </c>
      <c r="H117" s="534" t="s">
        <v>591</v>
      </c>
      <c r="I117" s="533" t="s">
        <v>590</v>
      </c>
      <c r="J117" s="534" t="s">
        <v>591</v>
      </c>
      <c r="K117" s="533" t="s">
        <v>590</v>
      </c>
      <c r="L117" s="534" t="s">
        <v>591</v>
      </c>
      <c r="M117" s="653"/>
      <c r="N117" s="397"/>
      <c r="O117" s="397"/>
      <c r="P117" s="397"/>
      <c r="Q117" s="397"/>
      <c r="R117" s="397"/>
      <c r="S117" s="397"/>
      <c r="T117" s="397"/>
      <c r="U117" s="397"/>
      <c r="V117" s="397"/>
      <c r="W117" s="397"/>
    </row>
    <row r="118" spans="2:23" ht="13" x14ac:dyDescent="0.3">
      <c r="B118" s="535" t="s">
        <v>647</v>
      </c>
      <c r="C118" s="536"/>
      <c r="D118" s="537">
        <v>200</v>
      </c>
      <c r="E118" s="536"/>
      <c r="F118" s="537">
        <v>155</v>
      </c>
      <c r="G118" s="536"/>
      <c r="H118" s="541">
        <f>F118*E101/100</f>
        <v>153.29499999999999</v>
      </c>
      <c r="I118" s="536"/>
      <c r="J118" s="541">
        <f>F118*E102/100</f>
        <v>6.51</v>
      </c>
      <c r="K118" s="538"/>
      <c r="L118" s="539">
        <f>F118*D118/1000000*E105</f>
        <v>28.21</v>
      </c>
      <c r="M118" s="540">
        <f t="shared" ref="M118:M120" si="10">SUM(K118:L118)</f>
        <v>28.21</v>
      </c>
      <c r="N118" s="397"/>
      <c r="O118" s="397"/>
      <c r="P118" s="397"/>
      <c r="Q118" s="397"/>
      <c r="R118" s="397"/>
      <c r="S118" s="397"/>
      <c r="T118" s="397"/>
      <c r="U118" s="397"/>
      <c r="V118" s="397"/>
      <c r="W118" s="397"/>
    </row>
    <row r="119" spans="2:23" ht="13" x14ac:dyDescent="0.3">
      <c r="B119" s="535" t="s">
        <v>648</v>
      </c>
      <c r="C119" s="536"/>
      <c r="D119" s="537">
        <v>200</v>
      </c>
      <c r="E119" s="536"/>
      <c r="F119" s="537">
        <v>100</v>
      </c>
      <c r="G119" s="536"/>
      <c r="H119" s="541">
        <f>F119*E101/100</f>
        <v>98.9</v>
      </c>
      <c r="I119" s="536"/>
      <c r="J119" s="541">
        <f>F119*E102/100</f>
        <v>4.2</v>
      </c>
      <c r="K119" s="538"/>
      <c r="L119" s="539">
        <f>F119*D119/1000000*E105</f>
        <v>18.2</v>
      </c>
      <c r="M119" s="540">
        <f t="shared" si="10"/>
        <v>18.2</v>
      </c>
      <c r="N119" s="397"/>
      <c r="O119" s="397"/>
      <c r="P119" s="397"/>
      <c r="Q119" s="397"/>
      <c r="R119" s="397"/>
      <c r="S119" s="397"/>
      <c r="T119" s="397"/>
      <c r="U119" s="397"/>
      <c r="V119" s="397"/>
      <c r="W119" s="397"/>
    </row>
    <row r="120" spans="2:23" ht="13" x14ac:dyDescent="0.3">
      <c r="B120" s="535" t="s">
        <v>2</v>
      </c>
      <c r="C120" s="536"/>
      <c r="D120" s="537">
        <v>120</v>
      </c>
      <c r="E120" s="536"/>
      <c r="F120" s="537">
        <v>80</v>
      </c>
      <c r="G120" s="536"/>
      <c r="H120" s="541">
        <f>F120*E101/100</f>
        <v>79.12</v>
      </c>
      <c r="I120" s="536"/>
      <c r="J120" s="541">
        <f>F120*E102/100</f>
        <v>3.36</v>
      </c>
      <c r="K120" s="538"/>
      <c r="L120" s="539">
        <f>F120*D120/1000000*E105</f>
        <v>8.7359999999999989</v>
      </c>
      <c r="M120" s="540">
        <f t="shared" si="10"/>
        <v>8.7359999999999989</v>
      </c>
      <c r="N120" s="397"/>
      <c r="O120" s="397"/>
      <c r="P120" s="397"/>
      <c r="Q120" s="397"/>
      <c r="R120" s="397"/>
      <c r="S120" s="397"/>
      <c r="T120" s="397"/>
      <c r="U120" s="397"/>
      <c r="V120" s="397"/>
      <c r="W120" s="397"/>
    </row>
    <row r="121" spans="2:23" ht="13" x14ac:dyDescent="0.3">
      <c r="B121" s="397"/>
      <c r="C121" s="397"/>
      <c r="D121" s="397"/>
      <c r="E121" s="397"/>
      <c r="F121" s="397"/>
      <c r="G121" s="397"/>
      <c r="H121" s="397"/>
      <c r="I121" s="397"/>
      <c r="J121" s="397"/>
      <c r="K121" s="397"/>
      <c r="L121" s="397"/>
      <c r="M121" s="397"/>
      <c r="N121" s="397"/>
      <c r="O121" s="397"/>
      <c r="P121" s="397"/>
      <c r="Q121" s="397"/>
      <c r="R121" s="397"/>
      <c r="S121" s="397"/>
      <c r="T121" s="397"/>
      <c r="U121" s="397"/>
      <c r="V121" s="397"/>
      <c r="W121" s="397"/>
    </row>
    <row r="122" spans="2:23" ht="13" x14ac:dyDescent="0.3">
      <c r="B122" s="396" t="s">
        <v>650</v>
      </c>
      <c r="C122" s="396"/>
      <c r="D122" s="397"/>
      <c r="E122" s="397"/>
      <c r="F122" s="397"/>
      <c r="G122" s="397"/>
      <c r="H122" s="397"/>
      <c r="I122" s="397"/>
      <c r="J122" s="397"/>
      <c r="K122" s="397"/>
      <c r="L122" s="397"/>
      <c r="M122" s="397"/>
      <c r="N122" s="397"/>
      <c r="O122" s="397"/>
      <c r="P122" s="397"/>
      <c r="Q122" s="397"/>
      <c r="R122" s="397"/>
      <c r="S122" s="397"/>
      <c r="T122" s="397"/>
      <c r="U122" s="397"/>
      <c r="V122" s="397"/>
      <c r="W122" s="397"/>
    </row>
    <row r="123" spans="2:23" ht="12.75" customHeight="1" x14ac:dyDescent="0.3">
      <c r="B123" s="412" t="s">
        <v>581</v>
      </c>
      <c r="C123" s="626" t="s">
        <v>584</v>
      </c>
      <c r="D123" s="627"/>
      <c r="E123" s="626" t="s">
        <v>585</v>
      </c>
      <c r="F123" s="627"/>
      <c r="G123" s="626" t="s">
        <v>586</v>
      </c>
      <c r="H123" s="627"/>
      <c r="I123" s="626" t="s">
        <v>587</v>
      </c>
      <c r="J123" s="627"/>
      <c r="K123" s="626" t="s">
        <v>645</v>
      </c>
      <c r="L123" s="627"/>
      <c r="M123" s="652" t="s">
        <v>646</v>
      </c>
      <c r="N123" s="397"/>
      <c r="O123" s="397"/>
      <c r="P123" s="397"/>
      <c r="Q123" s="397"/>
      <c r="R123" s="397"/>
      <c r="S123" s="397"/>
      <c r="T123" s="397"/>
      <c r="U123" s="397"/>
      <c r="V123" s="397"/>
      <c r="W123" s="397"/>
    </row>
    <row r="124" spans="2:23" ht="26" x14ac:dyDescent="0.3">
      <c r="B124" s="413"/>
      <c r="C124" s="533" t="s">
        <v>590</v>
      </c>
      <c r="D124" s="534" t="s">
        <v>591</v>
      </c>
      <c r="E124" s="533" t="s">
        <v>590</v>
      </c>
      <c r="F124" s="534" t="s">
        <v>591</v>
      </c>
      <c r="G124" s="533" t="s">
        <v>590</v>
      </c>
      <c r="H124" s="534" t="s">
        <v>591</v>
      </c>
      <c r="I124" s="533" t="s">
        <v>590</v>
      </c>
      <c r="J124" s="534" t="s">
        <v>591</v>
      </c>
      <c r="K124" s="533" t="s">
        <v>590</v>
      </c>
      <c r="L124" s="534" t="s">
        <v>591</v>
      </c>
      <c r="M124" s="653"/>
      <c r="N124" s="397"/>
      <c r="O124" s="397"/>
      <c r="P124" s="397"/>
      <c r="Q124" s="397"/>
      <c r="R124" s="397"/>
      <c r="S124" s="397"/>
      <c r="T124" s="397"/>
      <c r="U124" s="397"/>
      <c r="V124" s="397"/>
      <c r="W124" s="397"/>
    </row>
    <row r="125" spans="2:23" ht="13" x14ac:dyDescent="0.3">
      <c r="B125" s="535" t="s">
        <v>647</v>
      </c>
      <c r="C125" s="536">
        <v>150</v>
      </c>
      <c r="D125" s="537">
        <v>200</v>
      </c>
      <c r="E125" s="536">
        <v>80</v>
      </c>
      <c r="F125" s="537">
        <v>160</v>
      </c>
      <c r="G125" s="536"/>
      <c r="H125" s="541">
        <f>F125*E101/100</f>
        <v>158.24</v>
      </c>
      <c r="I125" s="542">
        <f>E125*D102/100</f>
        <v>13.44</v>
      </c>
      <c r="J125" s="541">
        <f>F125*E102/100</f>
        <v>6.72</v>
      </c>
      <c r="K125" s="538">
        <f>C125*E125/1000000*D105</f>
        <v>16.080000000000002</v>
      </c>
      <c r="L125" s="539">
        <f>F125*D125/1000000*E105</f>
        <v>29.12</v>
      </c>
      <c r="M125" s="540">
        <f t="shared" ref="M125:M127" si="11">SUM(K125:L125)</f>
        <v>45.2</v>
      </c>
      <c r="N125" s="397"/>
      <c r="O125" s="397"/>
      <c r="P125" s="397"/>
      <c r="Q125" s="397"/>
      <c r="R125" s="397"/>
      <c r="S125" s="397"/>
      <c r="T125" s="397"/>
      <c r="U125" s="397"/>
      <c r="V125" s="397"/>
      <c r="W125" s="397"/>
    </row>
    <row r="126" spans="2:23" ht="13" x14ac:dyDescent="0.3">
      <c r="B126" s="535" t="s">
        <v>648</v>
      </c>
      <c r="C126" s="536">
        <v>150</v>
      </c>
      <c r="D126" s="537">
        <v>200</v>
      </c>
      <c r="E126" s="536">
        <v>40</v>
      </c>
      <c r="F126" s="537">
        <v>105</v>
      </c>
      <c r="G126" s="536"/>
      <c r="H126" s="541">
        <f>F126*E101/100</f>
        <v>103.845</v>
      </c>
      <c r="I126" s="542">
        <f>E126*D102/100</f>
        <v>6.72</v>
      </c>
      <c r="J126" s="541">
        <f>F126*E102/100</f>
        <v>4.41</v>
      </c>
      <c r="K126" s="538">
        <f>C126*E126/1000000*D105</f>
        <v>8.0400000000000009</v>
      </c>
      <c r="L126" s="539">
        <f>F126*D126/1000000*E105</f>
        <v>19.11</v>
      </c>
      <c r="M126" s="540">
        <f t="shared" si="11"/>
        <v>27.15</v>
      </c>
      <c r="N126" s="397"/>
      <c r="O126" s="397"/>
      <c r="P126" s="397"/>
      <c r="Q126" s="397"/>
      <c r="R126" s="397"/>
      <c r="S126" s="397"/>
      <c r="T126" s="397"/>
      <c r="U126" s="397"/>
      <c r="V126" s="397"/>
      <c r="W126" s="397"/>
    </row>
    <row r="127" spans="2:23" ht="13" x14ac:dyDescent="0.3">
      <c r="B127" s="535" t="s">
        <v>2</v>
      </c>
      <c r="C127" s="536"/>
      <c r="D127" s="537">
        <v>120</v>
      </c>
      <c r="E127" s="536"/>
      <c r="F127" s="537">
        <v>80</v>
      </c>
      <c r="G127" s="536"/>
      <c r="H127" s="541">
        <f>F127*E101/100</f>
        <v>79.12</v>
      </c>
      <c r="I127" s="536"/>
      <c r="J127" s="541">
        <f>F127*E102/100</f>
        <v>3.36</v>
      </c>
      <c r="K127" s="538"/>
      <c r="L127" s="539">
        <f>F127*D127/1000000*E105</f>
        <v>8.7359999999999989</v>
      </c>
      <c r="M127" s="540">
        <f t="shared" si="11"/>
        <v>8.7359999999999989</v>
      </c>
      <c r="N127" s="397"/>
      <c r="O127" s="397"/>
      <c r="P127" s="397"/>
      <c r="Q127" s="397"/>
      <c r="R127" s="397"/>
      <c r="S127" s="397"/>
      <c r="T127" s="397"/>
      <c r="U127" s="397"/>
      <c r="V127" s="397"/>
      <c r="W127" s="397"/>
    </row>
    <row r="128" spans="2:23" ht="13" x14ac:dyDescent="0.3">
      <c r="B128" s="397"/>
      <c r="C128" s="397"/>
      <c r="D128" s="397"/>
      <c r="E128" s="397"/>
      <c r="F128" s="397"/>
      <c r="G128" s="397"/>
      <c r="H128" s="397"/>
      <c r="I128" s="397"/>
      <c r="J128" s="397"/>
      <c r="K128" s="397"/>
      <c r="L128" s="397"/>
      <c r="M128" s="397"/>
      <c r="N128" s="397"/>
      <c r="O128" s="397"/>
      <c r="P128" s="397"/>
      <c r="Q128" s="397"/>
      <c r="R128" s="397"/>
      <c r="S128" s="397"/>
      <c r="T128" s="397"/>
      <c r="U128" s="397"/>
      <c r="V128" s="397"/>
      <c r="W128" s="397"/>
    </row>
    <row r="129" spans="2:23" ht="13" x14ac:dyDescent="0.3">
      <c r="B129" s="396" t="s">
        <v>613</v>
      </c>
      <c r="C129" s="396"/>
      <c r="D129" s="397"/>
      <c r="E129" s="397"/>
      <c r="F129" s="397"/>
      <c r="G129" s="397"/>
      <c r="H129" s="397"/>
      <c r="I129" s="397"/>
      <c r="J129" s="397"/>
      <c r="K129" s="397"/>
      <c r="L129" s="397"/>
      <c r="M129" s="397"/>
      <c r="N129" s="397"/>
      <c r="O129" s="397"/>
      <c r="P129" s="397"/>
      <c r="Q129" s="397"/>
      <c r="R129" s="397"/>
      <c r="S129" s="397"/>
      <c r="T129" s="397"/>
      <c r="U129" s="397"/>
      <c r="V129" s="397"/>
      <c r="W129" s="397"/>
    </row>
    <row r="130" spans="2:23" ht="13" x14ac:dyDescent="0.3">
      <c r="B130" s="396" t="s">
        <v>614</v>
      </c>
      <c r="C130" s="396"/>
      <c r="D130" s="397"/>
      <c r="E130" s="397"/>
      <c r="F130" s="397"/>
      <c r="G130" s="397"/>
      <c r="H130" s="397"/>
      <c r="I130" s="397"/>
      <c r="J130" s="397"/>
      <c r="K130" s="397"/>
      <c r="L130" s="397"/>
      <c r="M130" s="397"/>
      <c r="N130" s="397"/>
      <c r="O130" s="397"/>
      <c r="P130" s="397"/>
      <c r="Q130" s="397"/>
      <c r="R130" s="397"/>
      <c r="S130" s="397"/>
      <c r="T130" s="397"/>
      <c r="U130" s="397"/>
      <c r="V130" s="397"/>
      <c r="W130" s="397"/>
    </row>
    <row r="131" spans="2:23" ht="39" x14ac:dyDescent="0.25">
      <c r="B131" s="399" t="s">
        <v>615</v>
      </c>
      <c r="C131" s="399" t="s">
        <v>616</v>
      </c>
      <c r="D131" s="399" t="s">
        <v>617</v>
      </c>
      <c r="E131" s="399" t="s">
        <v>665</v>
      </c>
      <c r="F131" s="399" t="s">
        <v>666</v>
      </c>
      <c r="G131" s="399" t="s">
        <v>667</v>
      </c>
      <c r="H131" s="399" t="s">
        <v>618</v>
      </c>
      <c r="I131" s="399" t="s">
        <v>619</v>
      </c>
      <c r="J131" s="649" t="s">
        <v>620</v>
      </c>
      <c r="K131" s="649"/>
      <c r="L131" s="649"/>
      <c r="M131" s="649"/>
      <c r="N131" s="649"/>
      <c r="O131" s="649"/>
      <c r="P131" s="649"/>
      <c r="Q131" s="649"/>
      <c r="R131" s="649"/>
      <c r="S131" s="649"/>
      <c r="T131" s="649"/>
      <c r="U131" s="649"/>
      <c r="V131" s="649"/>
      <c r="W131" s="649"/>
    </row>
    <row r="132" spans="2:23" ht="13" x14ac:dyDescent="0.3">
      <c r="B132" s="543" t="s">
        <v>621</v>
      </c>
      <c r="C132" s="544" t="s">
        <v>609</v>
      </c>
      <c r="D132" s="544" t="s">
        <v>622</v>
      </c>
      <c r="E132" s="545">
        <v>450</v>
      </c>
      <c r="F132" s="546">
        <v>400</v>
      </c>
      <c r="G132" s="544">
        <v>0.6</v>
      </c>
      <c r="H132" s="547" t="s">
        <v>632</v>
      </c>
      <c r="I132" s="548" t="s">
        <v>651</v>
      </c>
      <c r="J132" s="665" t="s">
        <v>668</v>
      </c>
      <c r="K132" s="665"/>
      <c r="L132" s="665"/>
      <c r="M132" s="665"/>
      <c r="N132" s="665"/>
      <c r="O132" s="665"/>
      <c r="P132" s="665"/>
      <c r="Q132" s="665"/>
      <c r="R132" s="665"/>
      <c r="S132" s="665"/>
      <c r="T132" s="665"/>
      <c r="U132" s="665"/>
      <c r="V132" s="665"/>
      <c r="W132" s="665"/>
    </row>
    <row r="133" spans="2:23" ht="13" x14ac:dyDescent="0.3">
      <c r="B133" s="543" t="s">
        <v>625</v>
      </c>
      <c r="C133" s="544" t="s">
        <v>609</v>
      </c>
      <c r="D133" s="544" t="s">
        <v>626</v>
      </c>
      <c r="E133" s="545">
        <v>450</v>
      </c>
      <c r="F133" s="546">
        <v>400</v>
      </c>
      <c r="G133" s="544">
        <v>0</v>
      </c>
      <c r="H133" s="547" t="s">
        <v>633</v>
      </c>
      <c r="I133" s="548" t="s">
        <v>652</v>
      </c>
      <c r="J133" s="665" t="s">
        <v>668</v>
      </c>
      <c r="K133" s="665"/>
      <c r="L133" s="665"/>
      <c r="M133" s="665"/>
      <c r="N133" s="665"/>
      <c r="O133" s="665"/>
      <c r="P133" s="665"/>
      <c r="Q133" s="665"/>
      <c r="R133" s="665"/>
      <c r="S133" s="665"/>
      <c r="T133" s="665"/>
      <c r="U133" s="665"/>
      <c r="V133" s="665"/>
      <c r="W133" s="665"/>
    </row>
    <row r="134" spans="2:23" ht="13" x14ac:dyDescent="0.3">
      <c r="B134" s="543" t="s">
        <v>653</v>
      </c>
      <c r="C134" s="544" t="s">
        <v>609</v>
      </c>
      <c r="D134" s="544" t="s">
        <v>622</v>
      </c>
      <c r="E134" s="545">
        <v>240</v>
      </c>
      <c r="F134" s="546" t="s">
        <v>654</v>
      </c>
      <c r="G134" s="544">
        <v>0.6</v>
      </c>
      <c r="H134" s="547" t="s">
        <v>655</v>
      </c>
      <c r="I134" s="548" t="s">
        <v>656</v>
      </c>
      <c r="J134" s="662" t="s">
        <v>657</v>
      </c>
      <c r="K134" s="663"/>
      <c r="L134" s="663"/>
      <c r="M134" s="663"/>
      <c r="N134" s="663"/>
      <c r="O134" s="663"/>
      <c r="P134" s="663"/>
      <c r="Q134" s="663"/>
      <c r="R134" s="663"/>
      <c r="S134" s="663"/>
      <c r="T134" s="663"/>
      <c r="U134" s="663"/>
      <c r="V134" s="663"/>
      <c r="W134" s="664"/>
    </row>
    <row r="135" spans="2:23" ht="13" x14ac:dyDescent="0.3">
      <c r="B135" s="543" t="s">
        <v>653</v>
      </c>
      <c r="C135" s="544" t="s">
        <v>609</v>
      </c>
      <c r="D135" s="544" t="s">
        <v>626</v>
      </c>
      <c r="E135" s="545">
        <v>320</v>
      </c>
      <c r="F135" s="546" t="s">
        <v>654</v>
      </c>
      <c r="G135" s="544" t="s">
        <v>658</v>
      </c>
      <c r="H135" s="547" t="s">
        <v>631</v>
      </c>
      <c r="I135" s="548" t="s">
        <v>659</v>
      </c>
      <c r="J135" s="665" t="s">
        <v>657</v>
      </c>
      <c r="K135" s="665"/>
      <c r="L135" s="665"/>
      <c r="M135" s="665"/>
      <c r="N135" s="665"/>
      <c r="O135" s="665"/>
      <c r="P135" s="665"/>
      <c r="Q135" s="665"/>
      <c r="R135" s="665"/>
      <c r="S135" s="665"/>
      <c r="T135" s="665"/>
      <c r="U135" s="665"/>
      <c r="V135" s="665"/>
      <c r="W135" s="665"/>
    </row>
    <row r="136" spans="2:23" ht="13" x14ac:dyDescent="0.3">
      <c r="B136" s="543" t="s">
        <v>2</v>
      </c>
      <c r="C136" s="544" t="s">
        <v>609</v>
      </c>
      <c r="D136" s="544" t="s">
        <v>626</v>
      </c>
      <c r="E136" s="545">
        <v>180</v>
      </c>
      <c r="F136" s="546">
        <v>200</v>
      </c>
      <c r="G136" s="544" t="s">
        <v>658</v>
      </c>
      <c r="H136" s="547" t="s">
        <v>660</v>
      </c>
      <c r="I136" s="547" t="s">
        <v>623</v>
      </c>
      <c r="J136" s="662" t="s">
        <v>661</v>
      </c>
      <c r="K136" s="663"/>
      <c r="L136" s="663"/>
      <c r="M136" s="663"/>
      <c r="N136" s="663"/>
      <c r="O136" s="663"/>
      <c r="P136" s="663"/>
      <c r="Q136" s="663"/>
      <c r="R136" s="663"/>
      <c r="S136" s="663"/>
      <c r="T136" s="663"/>
      <c r="U136" s="663"/>
      <c r="V136" s="663"/>
      <c r="W136" s="664"/>
    </row>
    <row r="137" spans="2:23" ht="13" x14ac:dyDescent="0.3">
      <c r="B137" s="397"/>
      <c r="C137" s="397"/>
      <c r="D137" s="397"/>
      <c r="E137" s="397"/>
      <c r="F137" s="397"/>
      <c r="G137" s="397"/>
      <c r="H137" s="397"/>
      <c r="I137" s="397"/>
      <c r="J137" s="397"/>
      <c r="K137" s="397"/>
      <c r="L137" s="397"/>
      <c r="M137" s="397"/>
      <c r="N137" s="397"/>
      <c r="O137" s="397"/>
      <c r="P137" s="397"/>
      <c r="Q137" s="397"/>
      <c r="R137" s="397"/>
      <c r="S137" s="397"/>
      <c r="T137" s="397"/>
      <c r="U137" s="397"/>
      <c r="V137" s="397"/>
      <c r="W137" s="397"/>
    </row>
    <row r="138" spans="2:23" ht="13" x14ac:dyDescent="0.3">
      <c r="B138" s="397"/>
      <c r="C138" s="397"/>
      <c r="D138" s="397"/>
      <c r="E138" s="397"/>
      <c r="F138" s="397"/>
      <c r="G138" s="397"/>
      <c r="H138" s="397"/>
      <c r="I138" s="397"/>
      <c r="J138" s="397"/>
      <c r="K138" s="397"/>
      <c r="L138" s="397"/>
      <c r="M138" s="397"/>
      <c r="N138" s="397"/>
      <c r="O138" s="397"/>
      <c r="P138" s="397"/>
      <c r="Q138" s="397"/>
      <c r="R138" s="397"/>
      <c r="S138" s="397"/>
      <c r="T138" s="397"/>
      <c r="U138" s="397"/>
      <c r="V138" s="397"/>
      <c r="W138" s="397"/>
    </row>
    <row r="140" spans="2:23" ht="13" x14ac:dyDescent="0.3">
      <c r="B140" s="396" t="s">
        <v>662</v>
      </c>
      <c r="D140" s="396" t="s">
        <v>637</v>
      </c>
      <c r="E140" s="397" t="s">
        <v>368</v>
      </c>
      <c r="G140" s="397"/>
      <c r="H140" s="397"/>
      <c r="I140" s="397"/>
      <c r="J140" s="397"/>
      <c r="K140" s="397"/>
      <c r="L140" s="397"/>
      <c r="M140" s="397"/>
      <c r="N140" s="397"/>
      <c r="O140" s="397"/>
    </row>
    <row r="141" spans="2:23" ht="13" x14ac:dyDescent="0.3">
      <c r="B141" s="396"/>
      <c r="C141" s="396"/>
      <c r="D141" s="397"/>
      <c r="E141" s="397"/>
      <c r="F141" s="397"/>
      <c r="G141" s="397"/>
      <c r="H141" s="397"/>
      <c r="I141" s="397"/>
      <c r="J141" s="397"/>
      <c r="K141" s="397"/>
      <c r="L141" s="397"/>
      <c r="M141" s="397"/>
      <c r="N141" s="397"/>
      <c r="O141" s="397"/>
    </row>
    <row r="142" spans="2:23" ht="13" x14ac:dyDescent="0.3">
      <c r="B142" s="396" t="s">
        <v>638</v>
      </c>
      <c r="C142" s="396"/>
      <c r="D142" s="397"/>
      <c r="E142" s="397"/>
      <c r="F142" s="397"/>
      <c r="G142" s="397"/>
      <c r="H142" s="397"/>
      <c r="I142" s="397"/>
      <c r="J142" s="397"/>
      <c r="K142" s="397"/>
      <c r="L142" s="397"/>
      <c r="M142" s="397"/>
      <c r="N142" s="397"/>
      <c r="O142" s="397"/>
    </row>
    <row r="143" spans="2:23" ht="13" x14ac:dyDescent="0.3">
      <c r="B143" s="396" t="s">
        <v>562</v>
      </c>
      <c r="C143" s="396"/>
      <c r="D143" s="397"/>
      <c r="E143" s="397"/>
      <c r="F143" s="397"/>
      <c r="G143" s="397"/>
      <c r="H143" s="397"/>
      <c r="I143" s="397"/>
      <c r="J143" s="397"/>
      <c r="K143" s="397"/>
      <c r="L143" s="397"/>
      <c r="M143" s="397"/>
      <c r="N143" s="397"/>
      <c r="O143" s="397"/>
    </row>
    <row r="144" spans="2:23" ht="13" x14ac:dyDescent="0.3">
      <c r="B144" s="396"/>
      <c r="C144" s="396"/>
      <c r="D144" s="397"/>
      <c r="E144" s="397"/>
      <c r="F144" s="397"/>
      <c r="G144" s="397"/>
      <c r="H144" s="397"/>
      <c r="I144" s="397"/>
      <c r="J144" s="397"/>
      <c r="K144" s="397"/>
      <c r="L144" s="397"/>
      <c r="M144" s="397"/>
      <c r="N144" s="397"/>
      <c r="O144" s="397"/>
    </row>
    <row r="145" spans="2:15" ht="13" x14ac:dyDescent="0.3">
      <c r="B145" s="396" t="s">
        <v>663</v>
      </c>
      <c r="C145" s="396"/>
      <c r="D145" s="397"/>
      <c r="E145" s="397"/>
      <c r="F145" s="397"/>
      <c r="G145" s="397"/>
      <c r="H145" s="397"/>
      <c r="I145" s="396"/>
      <c r="J145" s="397"/>
      <c r="K145" s="397"/>
      <c r="L145" s="397"/>
      <c r="M145" s="397"/>
      <c r="N145" s="397"/>
      <c r="O145" s="397"/>
    </row>
    <row r="146" spans="2:15" ht="39" x14ac:dyDescent="0.3">
      <c r="B146" s="398" t="s">
        <v>564</v>
      </c>
      <c r="C146" s="503"/>
      <c r="D146" s="399" t="s">
        <v>640</v>
      </c>
      <c r="E146" s="504" t="s">
        <v>641</v>
      </c>
      <c r="F146" s="505"/>
      <c r="G146" s="506"/>
      <c r="H146" s="507"/>
      <c r="I146" s="507"/>
      <c r="J146" s="507"/>
      <c r="K146" s="508"/>
      <c r="L146" s="508"/>
      <c r="M146" s="397"/>
      <c r="N146" s="397"/>
      <c r="O146" s="397"/>
    </row>
    <row r="147" spans="2:15" ht="13" x14ac:dyDescent="0.3">
      <c r="B147" s="400" t="s">
        <v>570</v>
      </c>
      <c r="C147" s="509"/>
      <c r="D147" s="401"/>
      <c r="E147" s="510">
        <v>30</v>
      </c>
      <c r="F147" s="511"/>
      <c r="G147" s="512"/>
      <c r="H147" s="502"/>
      <c r="I147" s="502"/>
      <c r="J147" s="502"/>
      <c r="K147" s="512"/>
      <c r="L147" s="512"/>
      <c r="M147" s="397"/>
      <c r="N147" s="397"/>
      <c r="O147" s="397"/>
    </row>
    <row r="148" spans="2:15" ht="13" x14ac:dyDescent="0.3">
      <c r="B148" s="400" t="s">
        <v>571</v>
      </c>
      <c r="C148" s="509"/>
      <c r="D148" s="401"/>
      <c r="E148" s="510">
        <v>10</v>
      </c>
      <c r="F148" s="511"/>
      <c r="G148" s="512"/>
      <c r="H148" s="502"/>
      <c r="I148" s="502"/>
      <c r="J148" s="502"/>
      <c r="K148" s="512"/>
      <c r="L148" s="512"/>
      <c r="M148" s="397"/>
      <c r="N148" s="397"/>
      <c r="O148" s="397"/>
    </row>
    <row r="149" spans="2:15" ht="13" x14ac:dyDescent="0.3">
      <c r="B149" s="400" t="s">
        <v>573</v>
      </c>
      <c r="C149" s="509"/>
      <c r="D149" s="401">
        <v>80</v>
      </c>
      <c r="E149" s="510">
        <v>20</v>
      </c>
      <c r="F149" s="511"/>
      <c r="G149" s="512"/>
      <c r="H149" s="502"/>
      <c r="I149" s="502"/>
      <c r="J149" s="502"/>
      <c r="K149" s="512"/>
      <c r="L149" s="512"/>
      <c r="M149" s="397"/>
      <c r="N149" s="397"/>
      <c r="O149" s="397"/>
    </row>
    <row r="150" spans="2:15" ht="13.5" thickBot="1" x14ac:dyDescent="0.35">
      <c r="B150" s="402" t="s">
        <v>574</v>
      </c>
      <c r="C150" s="513"/>
      <c r="D150" s="403">
        <v>20</v>
      </c>
      <c r="E150" s="514">
        <v>40</v>
      </c>
      <c r="F150" s="511"/>
      <c r="G150" s="512"/>
      <c r="H150" s="502"/>
      <c r="I150" s="502"/>
      <c r="J150" s="502"/>
      <c r="K150" s="512"/>
      <c r="L150" s="512"/>
      <c r="M150" s="397"/>
      <c r="N150" s="397"/>
      <c r="O150" s="397"/>
    </row>
    <row r="151" spans="2:15" ht="13" x14ac:dyDescent="0.3">
      <c r="B151" s="408" t="s">
        <v>575</v>
      </c>
      <c r="C151" s="515"/>
      <c r="D151" s="516"/>
      <c r="E151" s="517">
        <v>98.9</v>
      </c>
      <c r="F151" s="518"/>
      <c r="G151" s="519"/>
      <c r="H151" s="502"/>
      <c r="I151" s="502"/>
      <c r="J151" s="502"/>
      <c r="K151" s="502"/>
      <c r="L151" s="519"/>
      <c r="M151" s="397"/>
      <c r="N151" s="397"/>
      <c r="O151" s="397"/>
    </row>
    <row r="152" spans="2:15" ht="13.5" thickBot="1" x14ac:dyDescent="0.35">
      <c r="B152" s="402" t="s">
        <v>576</v>
      </c>
      <c r="C152" s="513"/>
      <c r="D152" s="406">
        <v>16.8</v>
      </c>
      <c r="E152" s="520">
        <v>3.88</v>
      </c>
      <c r="F152" s="518"/>
      <c r="G152" s="519"/>
      <c r="H152" s="502"/>
      <c r="I152" s="502"/>
      <c r="J152" s="502"/>
      <c r="K152" s="502"/>
      <c r="L152" s="519"/>
      <c r="M152" s="397"/>
      <c r="N152" s="397"/>
      <c r="O152" s="397"/>
    </row>
    <row r="153" spans="2:15" ht="13" x14ac:dyDescent="0.3">
      <c r="B153" s="404" t="s">
        <v>642</v>
      </c>
      <c r="C153" s="521"/>
      <c r="D153" s="522">
        <v>905</v>
      </c>
      <c r="E153" s="523">
        <v>675</v>
      </c>
      <c r="F153" s="524"/>
      <c r="G153" s="525"/>
      <c r="H153" s="502"/>
      <c r="I153" s="502"/>
      <c r="J153" s="502"/>
      <c r="K153" s="525"/>
      <c r="L153" s="525"/>
      <c r="M153" s="397"/>
      <c r="N153" s="397"/>
      <c r="O153" s="397"/>
    </row>
    <row r="154" spans="2:15" ht="13.5" thickBot="1" x14ac:dyDescent="0.35">
      <c r="B154" s="408" t="s">
        <v>643</v>
      </c>
      <c r="C154" s="526"/>
      <c r="D154" s="527">
        <v>170</v>
      </c>
      <c r="E154" s="524">
        <v>170</v>
      </c>
      <c r="F154" s="524"/>
      <c r="G154" s="525"/>
      <c r="H154" s="502"/>
      <c r="I154" s="502"/>
      <c r="J154" s="502"/>
      <c r="K154" s="525"/>
      <c r="L154" s="525"/>
      <c r="M154" s="397"/>
      <c r="N154" s="397"/>
      <c r="O154" s="397"/>
    </row>
    <row r="155" spans="2:15" ht="13.5" thickBot="1" x14ac:dyDescent="0.35">
      <c r="B155" s="410" t="s">
        <v>579</v>
      </c>
      <c r="C155" s="528"/>
      <c r="D155" s="529">
        <f>SUM(D153:D154)</f>
        <v>1075</v>
      </c>
      <c r="E155" s="530">
        <f>SUM(E153:E154)</f>
        <v>845</v>
      </c>
      <c r="F155" s="531"/>
      <c r="G155" s="532"/>
      <c r="H155" s="501"/>
      <c r="I155" s="501"/>
      <c r="J155" s="501"/>
      <c r="K155" s="532"/>
      <c r="L155" s="532"/>
      <c r="M155" s="397"/>
      <c r="N155" s="397"/>
      <c r="O155" s="397"/>
    </row>
    <row r="156" spans="2:15" ht="13" x14ac:dyDescent="0.3">
      <c r="B156" s="397"/>
      <c r="C156" s="397"/>
      <c r="D156" s="397"/>
      <c r="E156" s="397"/>
      <c r="F156" s="397"/>
      <c r="G156" s="397"/>
      <c r="H156" s="397"/>
      <c r="I156" s="397"/>
      <c r="J156" s="397"/>
      <c r="K156" s="397"/>
      <c r="L156" s="397"/>
      <c r="M156" s="397"/>
      <c r="N156" s="397"/>
      <c r="O156" s="397"/>
    </row>
    <row r="157" spans="2:15" ht="13" x14ac:dyDescent="0.3">
      <c r="B157" s="397"/>
      <c r="C157" s="397"/>
      <c r="D157" s="397"/>
      <c r="E157" s="397"/>
      <c r="F157" s="397"/>
      <c r="G157" s="397"/>
      <c r="H157" s="397"/>
      <c r="I157" s="397"/>
      <c r="J157" s="397"/>
      <c r="K157" s="397"/>
      <c r="L157" s="397"/>
      <c r="M157" s="397"/>
      <c r="N157" s="397"/>
      <c r="O157" s="397"/>
    </row>
    <row r="158" spans="2:15" ht="13" x14ac:dyDescent="0.3">
      <c r="B158" s="396" t="s">
        <v>644</v>
      </c>
      <c r="C158" s="396"/>
      <c r="D158" s="397"/>
      <c r="E158" s="397"/>
      <c r="F158" s="397"/>
      <c r="G158" s="397"/>
      <c r="H158" s="397"/>
      <c r="I158" s="397"/>
      <c r="J158" s="397"/>
      <c r="K158" s="397"/>
      <c r="L158" s="397"/>
      <c r="M158" s="397"/>
      <c r="N158" s="397"/>
      <c r="O158" s="397"/>
    </row>
    <row r="159" spans="2:15" ht="12.75" customHeight="1" x14ac:dyDescent="0.3">
      <c r="B159" s="412" t="s">
        <v>581</v>
      </c>
      <c r="C159" s="626" t="s">
        <v>584</v>
      </c>
      <c r="D159" s="627"/>
      <c r="E159" s="626" t="s">
        <v>585</v>
      </c>
      <c r="F159" s="627"/>
      <c r="G159" s="626" t="s">
        <v>586</v>
      </c>
      <c r="H159" s="627"/>
      <c r="I159" s="626" t="s">
        <v>587</v>
      </c>
      <c r="J159" s="627"/>
      <c r="K159" s="626" t="s">
        <v>645</v>
      </c>
      <c r="L159" s="627"/>
      <c r="M159" s="652" t="s">
        <v>646</v>
      </c>
      <c r="N159" s="397"/>
      <c r="O159" s="397"/>
    </row>
    <row r="160" spans="2:15" ht="26" x14ac:dyDescent="0.3">
      <c r="B160" s="413"/>
      <c r="C160" s="533" t="s">
        <v>590</v>
      </c>
      <c r="D160" s="534" t="s">
        <v>591</v>
      </c>
      <c r="E160" s="533" t="s">
        <v>590</v>
      </c>
      <c r="F160" s="534" t="s">
        <v>591</v>
      </c>
      <c r="G160" s="533" t="s">
        <v>590</v>
      </c>
      <c r="H160" s="534" t="s">
        <v>591</v>
      </c>
      <c r="I160" s="533" t="s">
        <v>590</v>
      </c>
      <c r="J160" s="534" t="s">
        <v>591</v>
      </c>
      <c r="K160" s="533" t="s">
        <v>590</v>
      </c>
      <c r="L160" s="534" t="s">
        <v>591</v>
      </c>
      <c r="M160" s="653"/>
      <c r="N160" s="397"/>
      <c r="O160" s="397"/>
    </row>
    <row r="161" spans="2:15" ht="13" x14ac:dyDescent="0.3">
      <c r="B161" s="535" t="s">
        <v>647</v>
      </c>
      <c r="C161" s="536"/>
      <c r="D161" s="537"/>
      <c r="E161" s="536"/>
      <c r="F161" s="537"/>
      <c r="G161" s="536"/>
      <c r="H161" s="537"/>
      <c r="I161" s="536"/>
      <c r="J161" s="537"/>
      <c r="K161" s="538"/>
      <c r="L161" s="539"/>
      <c r="M161" s="540"/>
      <c r="N161" s="397"/>
      <c r="O161" s="397"/>
    </row>
    <row r="162" spans="2:15" ht="13" x14ac:dyDescent="0.3">
      <c r="B162" s="535" t="s">
        <v>648</v>
      </c>
      <c r="C162" s="536"/>
      <c r="D162" s="537"/>
      <c r="E162" s="536"/>
      <c r="F162" s="537"/>
      <c r="G162" s="536"/>
      <c r="H162" s="537"/>
      <c r="I162" s="536"/>
      <c r="J162" s="537"/>
      <c r="K162" s="538"/>
      <c r="L162" s="539"/>
      <c r="M162" s="540"/>
      <c r="N162" s="397"/>
      <c r="O162" s="397"/>
    </row>
    <row r="163" spans="2:15" ht="13" x14ac:dyDescent="0.3">
      <c r="B163" s="535" t="s">
        <v>2</v>
      </c>
      <c r="C163" s="536"/>
      <c r="D163" s="537"/>
      <c r="E163" s="536"/>
      <c r="F163" s="537"/>
      <c r="G163" s="536"/>
      <c r="H163" s="537"/>
      <c r="I163" s="536"/>
      <c r="J163" s="537"/>
      <c r="K163" s="538"/>
      <c r="L163" s="539"/>
      <c r="M163" s="540"/>
      <c r="N163" s="397"/>
      <c r="O163" s="397"/>
    </row>
    <row r="164" spans="2:15" ht="13" x14ac:dyDescent="0.3">
      <c r="B164" s="397"/>
      <c r="C164" s="397"/>
      <c r="D164" s="397"/>
      <c r="E164" s="397"/>
      <c r="F164" s="397"/>
      <c r="G164" s="397"/>
      <c r="H164" s="397"/>
      <c r="I164" s="397"/>
      <c r="J164" s="397"/>
      <c r="K164" s="397"/>
      <c r="L164" s="397"/>
      <c r="M164" s="397"/>
      <c r="N164" s="397"/>
      <c r="O164" s="397"/>
    </row>
    <row r="165" spans="2:15" ht="13" x14ac:dyDescent="0.3">
      <c r="B165" s="396" t="s">
        <v>649</v>
      </c>
      <c r="C165" s="396"/>
      <c r="D165" s="397"/>
      <c r="E165" s="397"/>
      <c r="F165" s="397"/>
      <c r="G165" s="397"/>
      <c r="H165" s="397"/>
      <c r="I165" s="397"/>
      <c r="J165" s="397"/>
      <c r="K165" s="397"/>
      <c r="L165" s="397"/>
      <c r="M165" s="397"/>
      <c r="N165" s="397"/>
      <c r="O165" s="397"/>
    </row>
    <row r="166" spans="2:15" ht="12.75" customHeight="1" x14ac:dyDescent="0.3">
      <c r="B166" s="412" t="s">
        <v>581</v>
      </c>
      <c r="C166" s="626" t="s">
        <v>584</v>
      </c>
      <c r="D166" s="627"/>
      <c r="E166" s="626" t="s">
        <v>585</v>
      </c>
      <c r="F166" s="627"/>
      <c r="G166" s="626" t="s">
        <v>586</v>
      </c>
      <c r="H166" s="627"/>
      <c r="I166" s="626" t="s">
        <v>587</v>
      </c>
      <c r="J166" s="627"/>
      <c r="K166" s="626" t="s">
        <v>645</v>
      </c>
      <c r="L166" s="627"/>
      <c r="M166" s="652" t="s">
        <v>646</v>
      </c>
      <c r="N166" s="397"/>
      <c r="O166" s="397"/>
    </row>
    <row r="167" spans="2:15" ht="26" x14ac:dyDescent="0.3">
      <c r="B167" s="413"/>
      <c r="C167" s="533" t="s">
        <v>590</v>
      </c>
      <c r="D167" s="534" t="s">
        <v>591</v>
      </c>
      <c r="E167" s="533" t="s">
        <v>590</v>
      </c>
      <c r="F167" s="534" t="s">
        <v>591</v>
      </c>
      <c r="G167" s="533" t="s">
        <v>590</v>
      </c>
      <c r="H167" s="534" t="s">
        <v>591</v>
      </c>
      <c r="I167" s="533" t="s">
        <v>590</v>
      </c>
      <c r="J167" s="534" t="s">
        <v>591</v>
      </c>
      <c r="K167" s="533" t="s">
        <v>590</v>
      </c>
      <c r="L167" s="534" t="s">
        <v>591</v>
      </c>
      <c r="M167" s="653"/>
      <c r="N167" s="397"/>
      <c r="O167" s="397"/>
    </row>
    <row r="168" spans="2:15" ht="13" x14ac:dyDescent="0.3">
      <c r="B168" s="535" t="s">
        <v>647</v>
      </c>
      <c r="C168" s="536"/>
      <c r="D168" s="537">
        <v>200</v>
      </c>
      <c r="E168" s="536"/>
      <c r="F168" s="537">
        <v>155</v>
      </c>
      <c r="G168" s="536"/>
      <c r="H168" s="541">
        <f>F168*E151/100</f>
        <v>153.29499999999999</v>
      </c>
      <c r="I168" s="536"/>
      <c r="J168" s="541">
        <f>F168*E152/100</f>
        <v>6.0139999999999993</v>
      </c>
      <c r="K168" s="538"/>
      <c r="L168" s="539">
        <f>F168*D168/1000000*E155</f>
        <v>26.195</v>
      </c>
      <c r="M168" s="540">
        <f t="shared" ref="M168:M170" si="12">SUM(K168:L168)</f>
        <v>26.195</v>
      </c>
      <c r="N168" s="397"/>
      <c r="O168" s="397"/>
    </row>
    <row r="169" spans="2:15" ht="13" x14ac:dyDescent="0.3">
      <c r="B169" s="535" t="s">
        <v>648</v>
      </c>
      <c r="C169" s="536"/>
      <c r="D169" s="537">
        <v>200</v>
      </c>
      <c r="E169" s="536"/>
      <c r="F169" s="537">
        <v>100</v>
      </c>
      <c r="G169" s="536"/>
      <c r="H169" s="541">
        <f>F169*E151/100</f>
        <v>98.9</v>
      </c>
      <c r="I169" s="536"/>
      <c r="J169" s="541">
        <f>F169*E152/100</f>
        <v>3.88</v>
      </c>
      <c r="K169" s="538"/>
      <c r="L169" s="539">
        <f>F169*D169/1000000*E155</f>
        <v>16.899999999999999</v>
      </c>
      <c r="M169" s="540">
        <f t="shared" si="12"/>
        <v>16.899999999999999</v>
      </c>
      <c r="N169" s="397"/>
      <c r="O169" s="397"/>
    </row>
    <row r="170" spans="2:15" ht="13" x14ac:dyDescent="0.3">
      <c r="B170" s="535" t="s">
        <v>2</v>
      </c>
      <c r="C170" s="536"/>
      <c r="D170" s="537">
        <v>120</v>
      </c>
      <c r="E170" s="536"/>
      <c r="F170" s="537">
        <v>80</v>
      </c>
      <c r="G170" s="536"/>
      <c r="H170" s="541">
        <f>F170*E151/100</f>
        <v>79.12</v>
      </c>
      <c r="I170" s="536"/>
      <c r="J170" s="541">
        <f>F170*E152/100</f>
        <v>3.1039999999999996</v>
      </c>
      <c r="K170" s="538"/>
      <c r="L170" s="539">
        <f>F170*D170/1000000*E155</f>
        <v>8.1120000000000001</v>
      </c>
      <c r="M170" s="540">
        <f t="shared" si="12"/>
        <v>8.1120000000000001</v>
      </c>
      <c r="N170" s="397"/>
      <c r="O170" s="397"/>
    </row>
    <row r="171" spans="2:15" ht="13" x14ac:dyDescent="0.3">
      <c r="B171" s="397"/>
      <c r="C171" s="397"/>
      <c r="D171" s="397"/>
      <c r="E171" s="397"/>
      <c r="F171" s="397"/>
      <c r="G171" s="397"/>
      <c r="H171" s="397"/>
      <c r="I171" s="397"/>
      <c r="J171" s="397"/>
      <c r="K171" s="397"/>
      <c r="L171" s="397"/>
      <c r="M171" s="397"/>
      <c r="N171" s="397"/>
      <c r="O171" s="397"/>
    </row>
    <row r="172" spans="2:15" ht="13" x14ac:dyDescent="0.3">
      <c r="B172" s="396" t="s">
        <v>650</v>
      </c>
      <c r="C172" s="396"/>
      <c r="D172" s="397"/>
      <c r="E172" s="397"/>
      <c r="F172" s="397"/>
      <c r="G172" s="397"/>
      <c r="H172" s="397"/>
      <c r="I172" s="397"/>
      <c r="J172" s="397"/>
      <c r="K172" s="397"/>
      <c r="L172" s="397"/>
      <c r="M172" s="397"/>
      <c r="N172" s="397"/>
      <c r="O172" s="397"/>
    </row>
    <row r="173" spans="2:15" ht="12.75" customHeight="1" x14ac:dyDescent="0.3">
      <c r="B173" s="412" t="s">
        <v>581</v>
      </c>
      <c r="C173" s="626" t="s">
        <v>584</v>
      </c>
      <c r="D173" s="627"/>
      <c r="E173" s="626" t="s">
        <v>585</v>
      </c>
      <c r="F173" s="627"/>
      <c r="G173" s="626" t="s">
        <v>586</v>
      </c>
      <c r="H173" s="627"/>
      <c r="I173" s="626" t="s">
        <v>587</v>
      </c>
      <c r="J173" s="627"/>
      <c r="K173" s="626" t="s">
        <v>645</v>
      </c>
      <c r="L173" s="627"/>
      <c r="M173" s="652" t="s">
        <v>646</v>
      </c>
      <c r="N173" s="397"/>
      <c r="O173" s="397"/>
    </row>
    <row r="174" spans="2:15" ht="26" x14ac:dyDescent="0.3">
      <c r="B174" s="413"/>
      <c r="C174" s="533" t="s">
        <v>590</v>
      </c>
      <c r="D174" s="534" t="s">
        <v>591</v>
      </c>
      <c r="E174" s="533" t="s">
        <v>590</v>
      </c>
      <c r="F174" s="534" t="s">
        <v>591</v>
      </c>
      <c r="G174" s="533" t="s">
        <v>590</v>
      </c>
      <c r="H174" s="534" t="s">
        <v>591</v>
      </c>
      <c r="I174" s="533" t="s">
        <v>590</v>
      </c>
      <c r="J174" s="534" t="s">
        <v>591</v>
      </c>
      <c r="K174" s="533" t="s">
        <v>590</v>
      </c>
      <c r="L174" s="534" t="s">
        <v>591</v>
      </c>
      <c r="M174" s="653"/>
      <c r="N174" s="397"/>
      <c r="O174" s="397"/>
    </row>
    <row r="175" spans="2:15" ht="13" x14ac:dyDescent="0.3">
      <c r="B175" s="535" t="s">
        <v>647</v>
      </c>
      <c r="C175" s="536">
        <v>150</v>
      </c>
      <c r="D175" s="537">
        <v>200</v>
      </c>
      <c r="E175" s="536">
        <v>80</v>
      </c>
      <c r="F175" s="537">
        <v>160</v>
      </c>
      <c r="G175" s="536"/>
      <c r="H175" s="541">
        <f>F175*E151/100</f>
        <v>158.24</v>
      </c>
      <c r="I175" s="542">
        <f>E175*D152/100</f>
        <v>13.44</v>
      </c>
      <c r="J175" s="541">
        <f>F175*E152/100</f>
        <v>6.2079999999999993</v>
      </c>
      <c r="K175" s="538">
        <f>C175*E175/1000000*D155</f>
        <v>12.9</v>
      </c>
      <c r="L175" s="539">
        <f>F175*D175/1000000*E155</f>
        <v>27.04</v>
      </c>
      <c r="M175" s="540">
        <f t="shared" ref="M175:M177" si="13">SUM(K175:L175)</f>
        <v>39.94</v>
      </c>
      <c r="N175" s="397"/>
      <c r="O175" s="397"/>
    </row>
    <row r="176" spans="2:15" ht="13" x14ac:dyDescent="0.3">
      <c r="B176" s="535" t="s">
        <v>648</v>
      </c>
      <c r="C176" s="536">
        <v>150</v>
      </c>
      <c r="D176" s="537">
        <v>200</v>
      </c>
      <c r="E176" s="536">
        <v>40</v>
      </c>
      <c r="F176" s="537">
        <v>105</v>
      </c>
      <c r="G176" s="536"/>
      <c r="H176" s="541">
        <f>F176*E151/100</f>
        <v>103.845</v>
      </c>
      <c r="I176" s="542">
        <f>E176*D152/100</f>
        <v>6.72</v>
      </c>
      <c r="J176" s="541">
        <f>F176*E152/100</f>
        <v>4.0739999999999998</v>
      </c>
      <c r="K176" s="538">
        <f>C176*E176/1000000*D155</f>
        <v>6.45</v>
      </c>
      <c r="L176" s="539">
        <f>F176*D176/1000000*E155</f>
        <v>17.745000000000001</v>
      </c>
      <c r="M176" s="540">
        <f t="shared" si="13"/>
        <v>24.195</v>
      </c>
      <c r="N176" s="397"/>
      <c r="O176" s="397"/>
    </row>
    <row r="177" spans="2:15" ht="13" x14ac:dyDescent="0.3">
      <c r="B177" s="535" t="s">
        <v>2</v>
      </c>
      <c r="C177" s="536"/>
      <c r="D177" s="537">
        <v>120</v>
      </c>
      <c r="E177" s="536"/>
      <c r="F177" s="537">
        <v>80</v>
      </c>
      <c r="G177" s="536"/>
      <c r="H177" s="541">
        <f>F177*E151/100</f>
        <v>79.12</v>
      </c>
      <c r="I177" s="536"/>
      <c r="J177" s="541">
        <f>F177*E152/100</f>
        <v>3.1039999999999996</v>
      </c>
      <c r="K177" s="538"/>
      <c r="L177" s="539">
        <f>F177*D177/1000000*E155</f>
        <v>8.1120000000000001</v>
      </c>
      <c r="M177" s="540">
        <f t="shared" si="13"/>
        <v>8.1120000000000001</v>
      </c>
      <c r="N177" s="397"/>
      <c r="O177" s="397"/>
    </row>
    <row r="178" spans="2:15" ht="13" x14ac:dyDescent="0.3">
      <c r="B178" s="397"/>
      <c r="C178" s="397"/>
      <c r="D178" s="397"/>
      <c r="E178" s="397"/>
      <c r="F178" s="397"/>
      <c r="G178" s="397"/>
      <c r="H178" s="397"/>
      <c r="I178" s="397"/>
      <c r="J178" s="397"/>
      <c r="K178" s="397"/>
      <c r="L178" s="397"/>
      <c r="M178" s="397"/>
      <c r="N178" s="397"/>
      <c r="O178" s="397"/>
    </row>
    <row r="179" spans="2:15" ht="13" x14ac:dyDescent="0.3">
      <c r="B179" s="396" t="s">
        <v>613</v>
      </c>
      <c r="C179" s="396"/>
      <c r="D179" s="397"/>
      <c r="E179" s="397"/>
      <c r="F179" s="397"/>
      <c r="G179" s="397"/>
      <c r="H179" s="397"/>
      <c r="I179" s="397"/>
      <c r="J179" s="397"/>
      <c r="K179" s="397"/>
      <c r="L179" s="397"/>
      <c r="M179" s="397"/>
      <c r="N179" s="397"/>
      <c r="O179" s="397"/>
    </row>
    <row r="180" spans="2:15" ht="13" x14ac:dyDescent="0.3">
      <c r="B180" s="396" t="s">
        <v>614</v>
      </c>
      <c r="C180" s="396"/>
      <c r="D180" s="397"/>
      <c r="E180" s="397"/>
      <c r="F180" s="397"/>
      <c r="G180" s="397"/>
      <c r="H180" s="397"/>
      <c r="I180" s="397"/>
      <c r="J180" s="397"/>
      <c r="K180" s="397"/>
      <c r="L180" s="397"/>
      <c r="M180" s="397"/>
      <c r="N180" s="397"/>
      <c r="O180" s="397"/>
    </row>
    <row r="181" spans="2:15" ht="39" x14ac:dyDescent="0.25">
      <c r="B181" s="399" t="s">
        <v>615</v>
      </c>
      <c r="C181" s="399" t="s">
        <v>616</v>
      </c>
      <c r="D181" s="399" t="s">
        <v>617</v>
      </c>
      <c r="E181" s="399" t="s">
        <v>665</v>
      </c>
      <c r="F181" s="399" t="s">
        <v>666</v>
      </c>
      <c r="G181" s="399" t="s">
        <v>667</v>
      </c>
      <c r="H181" s="399" t="s">
        <v>618</v>
      </c>
      <c r="I181" s="399" t="s">
        <v>619</v>
      </c>
      <c r="J181" s="666" t="s">
        <v>620</v>
      </c>
      <c r="K181" s="667"/>
      <c r="L181" s="667"/>
      <c r="M181" s="667"/>
      <c r="N181" s="667"/>
      <c r="O181" s="648"/>
    </row>
    <row r="182" spans="2:15" ht="13" x14ac:dyDescent="0.3">
      <c r="B182" s="543" t="s">
        <v>621</v>
      </c>
      <c r="C182" s="544" t="s">
        <v>609</v>
      </c>
      <c r="D182" s="544" t="s">
        <v>622</v>
      </c>
      <c r="E182" s="545">
        <v>450</v>
      </c>
      <c r="F182" s="546">
        <v>400</v>
      </c>
      <c r="G182" s="544">
        <v>0.6</v>
      </c>
      <c r="H182" s="547" t="s">
        <v>632</v>
      </c>
      <c r="I182" s="548" t="s">
        <v>651</v>
      </c>
      <c r="J182" s="549" t="s">
        <v>668</v>
      </c>
      <c r="K182" s="549"/>
      <c r="L182" s="549"/>
      <c r="M182" s="549"/>
      <c r="N182" s="549"/>
      <c r="O182" s="549"/>
    </row>
    <row r="183" spans="2:15" ht="13" x14ac:dyDescent="0.3">
      <c r="B183" s="543" t="s">
        <v>625</v>
      </c>
      <c r="C183" s="544" t="s">
        <v>609</v>
      </c>
      <c r="D183" s="544" t="s">
        <v>626</v>
      </c>
      <c r="E183" s="545">
        <v>450</v>
      </c>
      <c r="F183" s="546">
        <v>400</v>
      </c>
      <c r="G183" s="544">
        <v>0</v>
      </c>
      <c r="H183" s="547" t="s">
        <v>633</v>
      </c>
      <c r="I183" s="548" t="s">
        <v>652</v>
      </c>
      <c r="J183" s="549" t="s">
        <v>668</v>
      </c>
      <c r="K183" s="549"/>
      <c r="L183" s="549"/>
      <c r="M183" s="549"/>
      <c r="N183" s="549"/>
      <c r="O183" s="549"/>
    </row>
    <row r="184" spans="2:15" ht="13" x14ac:dyDescent="0.3">
      <c r="B184" s="543" t="s">
        <v>653</v>
      </c>
      <c r="C184" s="544" t="s">
        <v>609</v>
      </c>
      <c r="D184" s="544" t="s">
        <v>622</v>
      </c>
      <c r="E184" s="545">
        <v>240</v>
      </c>
      <c r="F184" s="546" t="s">
        <v>654</v>
      </c>
      <c r="G184" s="544">
        <v>0.6</v>
      </c>
      <c r="H184" s="547" t="s">
        <v>655</v>
      </c>
      <c r="I184" s="548" t="s">
        <v>656</v>
      </c>
      <c r="J184" s="668" t="s">
        <v>657</v>
      </c>
      <c r="K184" s="669"/>
      <c r="L184" s="669"/>
      <c r="M184" s="669"/>
      <c r="N184" s="669"/>
      <c r="O184" s="670"/>
    </row>
    <row r="185" spans="2:15" ht="13" x14ac:dyDescent="0.3">
      <c r="B185" s="543" t="s">
        <v>653</v>
      </c>
      <c r="C185" s="544" t="s">
        <v>609</v>
      </c>
      <c r="D185" s="544" t="s">
        <v>626</v>
      </c>
      <c r="E185" s="545">
        <v>320</v>
      </c>
      <c r="F185" s="546" t="s">
        <v>654</v>
      </c>
      <c r="G185" s="544" t="s">
        <v>658</v>
      </c>
      <c r="H185" s="547" t="s">
        <v>631</v>
      </c>
      <c r="I185" s="548" t="s">
        <v>659</v>
      </c>
      <c r="J185" s="668" t="s">
        <v>657</v>
      </c>
      <c r="K185" s="669"/>
      <c r="L185" s="669"/>
      <c r="M185" s="669"/>
      <c r="N185" s="669"/>
      <c r="O185" s="670"/>
    </row>
    <row r="186" spans="2:15" ht="13" x14ac:dyDescent="0.3">
      <c r="B186" s="543" t="s">
        <v>2</v>
      </c>
      <c r="C186" s="544" t="s">
        <v>609</v>
      </c>
      <c r="D186" s="544" t="s">
        <v>626</v>
      </c>
      <c r="E186" s="545">
        <v>180</v>
      </c>
      <c r="F186" s="546">
        <v>200</v>
      </c>
      <c r="G186" s="544" t="s">
        <v>658</v>
      </c>
      <c r="H186" s="547" t="s">
        <v>660</v>
      </c>
      <c r="I186" s="547" t="s">
        <v>623</v>
      </c>
      <c r="J186" s="668" t="s">
        <v>661</v>
      </c>
      <c r="K186" s="669"/>
      <c r="L186" s="669"/>
      <c r="M186" s="669"/>
      <c r="N186" s="669"/>
      <c r="O186" s="670"/>
    </row>
  </sheetData>
  <mergeCells count="74">
    <mergeCell ref="J181:O181"/>
    <mergeCell ref="J184:O184"/>
    <mergeCell ref="J185:O185"/>
    <mergeCell ref="J186:O186"/>
    <mergeCell ref="C173:D173"/>
    <mergeCell ref="E173:F173"/>
    <mergeCell ref="G173:H173"/>
    <mergeCell ref="I173:J173"/>
    <mergeCell ref="K173:L173"/>
    <mergeCell ref="M173:M174"/>
    <mergeCell ref="M166:M167"/>
    <mergeCell ref="C159:D159"/>
    <mergeCell ref="E159:F159"/>
    <mergeCell ref="G159:H159"/>
    <mergeCell ref="I159:J159"/>
    <mergeCell ref="K159:L159"/>
    <mergeCell ref="M159:M160"/>
    <mergeCell ref="C166:D166"/>
    <mergeCell ref="E166:F166"/>
    <mergeCell ref="G166:H166"/>
    <mergeCell ref="I166:J166"/>
    <mergeCell ref="K166:L166"/>
    <mergeCell ref="J136:W136"/>
    <mergeCell ref="C123:D123"/>
    <mergeCell ref="E123:F123"/>
    <mergeCell ref="G123:H123"/>
    <mergeCell ref="I123:J123"/>
    <mergeCell ref="K123:L123"/>
    <mergeCell ref="M123:M124"/>
    <mergeCell ref="J131:W131"/>
    <mergeCell ref="J132:W132"/>
    <mergeCell ref="J133:W133"/>
    <mergeCell ref="J134:W134"/>
    <mergeCell ref="J135:W135"/>
    <mergeCell ref="C116:D116"/>
    <mergeCell ref="E116:F116"/>
    <mergeCell ref="G116:H116"/>
    <mergeCell ref="I116:J116"/>
    <mergeCell ref="K116:L116"/>
    <mergeCell ref="M116:M117"/>
    <mergeCell ref="J80:O80"/>
    <mergeCell ref="J81:O81"/>
    <mergeCell ref="J82:O82"/>
    <mergeCell ref="J83:O83"/>
    <mergeCell ref="M109:M110"/>
    <mergeCell ref="C109:D109"/>
    <mergeCell ref="E109:F109"/>
    <mergeCell ref="G109:H109"/>
    <mergeCell ref="I109:J109"/>
    <mergeCell ref="K109:L109"/>
    <mergeCell ref="J79:O79"/>
    <mergeCell ref="D65:F65"/>
    <mergeCell ref="D66:F66"/>
    <mergeCell ref="D67:F67"/>
    <mergeCell ref="D68:F68"/>
    <mergeCell ref="D69:F69"/>
    <mergeCell ref="D70:F70"/>
    <mergeCell ref="D71:F71"/>
    <mergeCell ref="D72:F72"/>
    <mergeCell ref="D73:F73"/>
    <mergeCell ref="J77:O77"/>
    <mergeCell ref="J78:O78"/>
    <mergeCell ref="O59:P59"/>
    <mergeCell ref="Q59:Q60"/>
    <mergeCell ref="D61:F61"/>
    <mergeCell ref="D62:F62"/>
    <mergeCell ref="D63:F63"/>
    <mergeCell ref="K59:L59"/>
    <mergeCell ref="M59:N59"/>
    <mergeCell ref="D64:F64"/>
    <mergeCell ref="C59:C60"/>
    <mergeCell ref="D59:F59"/>
    <mergeCell ref="G59:H59"/>
    <mergeCell ref="I59:J5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dimension ref="B1:Q49"/>
  <sheetViews>
    <sheetView showGridLines="0" workbookViewId="0">
      <selection activeCell="B2" sqref="B2"/>
    </sheetView>
  </sheetViews>
  <sheetFormatPr defaultColWidth="9.6328125" defaultRowHeight="12.5" x14ac:dyDescent="0.25"/>
  <cols>
    <col min="1" max="1" width="1.6328125" customWidth="1"/>
    <col min="2" max="2" width="29" customWidth="1"/>
    <col min="3" max="7" width="9.6328125" customWidth="1"/>
    <col min="8" max="8" width="12.453125" customWidth="1"/>
    <col min="9" max="11" width="9.6328125" customWidth="1"/>
    <col min="12" max="12" width="12" customWidth="1"/>
    <col min="13" max="17" width="9.6328125" customWidth="1"/>
  </cols>
  <sheetData>
    <row r="1" spans="2:17" ht="13" x14ac:dyDescent="0.3">
      <c r="B1" s="34" t="s">
        <v>453</v>
      </c>
      <c r="C1" s="35"/>
      <c r="D1" s="35"/>
      <c r="E1" s="35"/>
      <c r="F1" s="22"/>
      <c r="G1" s="36" t="s">
        <v>224</v>
      </c>
      <c r="H1" s="320" t="s">
        <v>685</v>
      </c>
      <c r="I1" s="37"/>
      <c r="J1" s="17"/>
      <c r="K1" s="17"/>
      <c r="L1" s="17"/>
      <c r="M1" s="38"/>
      <c r="N1" s="38"/>
      <c r="O1" s="38"/>
      <c r="P1" s="38"/>
      <c r="Q1" s="37"/>
    </row>
    <row r="2" spans="2:17" ht="13" x14ac:dyDescent="0.3">
      <c r="B2" s="22"/>
      <c r="C2" s="22"/>
      <c r="D2" s="22"/>
      <c r="E2" s="22"/>
      <c r="F2" s="22"/>
      <c r="G2" s="36" t="s">
        <v>225</v>
      </c>
      <c r="H2" s="559">
        <v>43502</v>
      </c>
      <c r="I2" s="37"/>
      <c r="J2" s="17"/>
      <c r="K2" s="17"/>
      <c r="L2" s="17"/>
      <c r="M2" s="38"/>
      <c r="N2" s="38"/>
      <c r="O2" s="38"/>
      <c r="P2" s="38"/>
      <c r="Q2" s="37"/>
    </row>
    <row r="3" spans="2:17" ht="13" x14ac:dyDescent="0.3">
      <c r="B3" s="39" t="s">
        <v>314</v>
      </c>
      <c r="C3" s="22"/>
      <c r="D3" s="22"/>
      <c r="E3" s="22"/>
      <c r="F3" s="22"/>
      <c r="G3" s="36" t="s">
        <v>226</v>
      </c>
      <c r="H3" s="22"/>
      <c r="I3" s="22"/>
      <c r="J3" s="22"/>
      <c r="K3" s="22"/>
      <c r="L3" s="22"/>
      <c r="M3" s="22"/>
      <c r="N3" s="22"/>
      <c r="O3" s="22"/>
      <c r="P3" s="22"/>
      <c r="Q3" s="22"/>
    </row>
    <row r="4" spans="2:17" x14ac:dyDescent="0.25">
      <c r="B4" s="22"/>
      <c r="C4" s="22"/>
      <c r="D4" s="22"/>
      <c r="E4" s="22"/>
      <c r="F4" s="22"/>
      <c r="G4" s="22"/>
      <c r="H4" s="22"/>
      <c r="I4" s="22"/>
      <c r="J4" s="22"/>
      <c r="K4" s="22"/>
      <c r="L4" s="22"/>
      <c r="M4" s="22"/>
      <c r="N4" s="22"/>
      <c r="O4" s="22"/>
      <c r="P4" s="22"/>
      <c r="Q4" s="22"/>
    </row>
    <row r="5" spans="2:17" ht="13" x14ac:dyDescent="0.3">
      <c r="B5" s="40" t="s">
        <v>120</v>
      </c>
      <c r="C5" s="40"/>
      <c r="D5" s="40"/>
      <c r="E5" s="40"/>
      <c r="F5" s="40"/>
      <c r="G5" s="22"/>
      <c r="H5" s="34" t="s">
        <v>300</v>
      </c>
      <c r="I5" s="41"/>
      <c r="J5" s="41"/>
      <c r="K5" s="41"/>
      <c r="L5" s="41"/>
      <c r="M5" s="41"/>
      <c r="N5" s="40"/>
      <c r="O5" s="22"/>
      <c r="P5" s="22"/>
      <c r="Q5" s="22"/>
    </row>
    <row r="6" spans="2:17" ht="13" x14ac:dyDescent="0.3">
      <c r="B6" s="40" t="s">
        <v>121</v>
      </c>
      <c r="C6" s="40"/>
      <c r="D6" s="40"/>
      <c r="E6" s="40"/>
      <c r="F6" s="40"/>
      <c r="G6" s="42"/>
      <c r="H6" s="185"/>
      <c r="I6" s="43"/>
      <c r="J6" s="44"/>
      <c r="K6" s="44"/>
      <c r="L6" s="44"/>
      <c r="M6" s="45"/>
      <c r="N6" s="46"/>
      <c r="O6" s="22"/>
      <c r="P6" s="22"/>
      <c r="Q6" s="22"/>
    </row>
    <row r="7" spans="2:17" ht="13" x14ac:dyDescent="0.3">
      <c r="B7" s="40"/>
      <c r="C7" s="40"/>
      <c r="D7" s="40"/>
      <c r="E7" s="40"/>
      <c r="F7" s="40"/>
      <c r="G7" s="42"/>
      <c r="H7" s="186"/>
      <c r="I7" s="17"/>
      <c r="J7" s="17"/>
      <c r="K7" s="17"/>
      <c r="L7" s="17"/>
      <c r="M7" s="17"/>
      <c r="N7" s="46"/>
      <c r="O7" s="22"/>
      <c r="P7" s="22"/>
      <c r="Q7" s="22"/>
    </row>
    <row r="8" spans="2:17" ht="13" x14ac:dyDescent="0.3">
      <c r="B8" s="40" t="s">
        <v>122</v>
      </c>
      <c r="C8" s="40"/>
      <c r="D8" s="40"/>
      <c r="E8" s="40"/>
      <c r="F8" s="40"/>
      <c r="G8" s="42"/>
      <c r="H8" s="558"/>
      <c r="I8" s="17"/>
      <c r="J8" s="17"/>
      <c r="K8" s="17"/>
      <c r="L8" s="17"/>
      <c r="M8" s="17"/>
      <c r="N8" s="46"/>
      <c r="O8" s="22"/>
      <c r="P8" s="22"/>
      <c r="Q8" s="22"/>
    </row>
    <row r="9" spans="2:17" ht="13" x14ac:dyDescent="0.3">
      <c r="B9" s="40" t="s">
        <v>123</v>
      </c>
      <c r="C9" s="40"/>
      <c r="D9" s="40"/>
      <c r="E9" s="40"/>
      <c r="F9" s="40"/>
      <c r="G9" s="42"/>
      <c r="H9" s="558"/>
      <c r="I9" s="17"/>
      <c r="J9" s="17"/>
      <c r="K9" s="17"/>
      <c r="L9" s="17"/>
      <c r="M9" s="17"/>
      <c r="N9" s="46"/>
      <c r="O9" s="22"/>
      <c r="P9" s="22"/>
      <c r="Q9" s="22"/>
    </row>
    <row r="10" spans="2:17" ht="13" x14ac:dyDescent="0.3">
      <c r="B10" s="40" t="s">
        <v>124</v>
      </c>
      <c r="C10" s="40"/>
      <c r="D10" s="40"/>
      <c r="E10" s="40"/>
      <c r="F10" s="40"/>
      <c r="G10" s="42"/>
      <c r="H10" s="558"/>
      <c r="I10" s="17"/>
      <c r="J10" s="17"/>
      <c r="K10" s="17"/>
      <c r="L10" s="17"/>
      <c r="M10" s="17"/>
      <c r="N10" s="46"/>
      <c r="O10" s="22"/>
      <c r="P10" s="22"/>
      <c r="Q10" s="22"/>
    </row>
    <row r="11" spans="2:17" ht="13" x14ac:dyDescent="0.3">
      <c r="B11" s="40" t="s">
        <v>125</v>
      </c>
      <c r="C11" s="40"/>
      <c r="D11" s="40"/>
      <c r="E11" s="40"/>
      <c r="F11" s="40"/>
      <c r="G11" s="42"/>
      <c r="H11" s="558"/>
      <c r="I11" s="17"/>
      <c r="J11" s="17"/>
      <c r="K11" s="17"/>
      <c r="L11" s="17"/>
      <c r="M11" s="17"/>
      <c r="N11" s="46"/>
      <c r="O11" s="22"/>
      <c r="P11" s="22"/>
      <c r="Q11" s="22"/>
    </row>
    <row r="12" spans="2:17" ht="13" x14ac:dyDescent="0.3">
      <c r="B12" s="40" t="s">
        <v>126</v>
      </c>
      <c r="C12" s="40"/>
      <c r="D12" s="40"/>
      <c r="E12" s="40"/>
      <c r="F12" s="40"/>
      <c r="G12" s="42"/>
      <c r="H12" s="558"/>
      <c r="I12" s="17"/>
      <c r="J12" s="17"/>
      <c r="K12" s="17"/>
      <c r="L12" s="17"/>
      <c r="M12" s="17"/>
      <c r="N12" s="46"/>
      <c r="O12" s="22"/>
      <c r="P12" s="22"/>
      <c r="Q12" s="22"/>
    </row>
    <row r="13" spans="2:17" ht="13" x14ac:dyDescent="0.3">
      <c r="B13" s="40" t="s">
        <v>127</v>
      </c>
      <c r="C13" s="40"/>
      <c r="D13" s="40"/>
      <c r="E13" s="40"/>
      <c r="F13" s="40"/>
      <c r="G13" s="42"/>
      <c r="H13" s="558"/>
      <c r="I13" s="17"/>
      <c r="J13" s="17"/>
      <c r="K13" s="17"/>
      <c r="L13" s="17"/>
      <c r="M13" s="17"/>
      <c r="N13" s="46"/>
      <c r="O13" s="22"/>
      <c r="P13" s="22"/>
      <c r="Q13" s="22"/>
    </row>
    <row r="14" spans="2:17" ht="13" x14ac:dyDescent="0.3">
      <c r="B14" s="22"/>
      <c r="C14" s="40"/>
      <c r="D14" s="40"/>
      <c r="E14" s="40"/>
      <c r="F14" s="40"/>
      <c r="G14" s="42"/>
      <c r="H14" s="186"/>
      <c r="I14" s="17"/>
      <c r="J14" s="17"/>
      <c r="K14" s="17"/>
      <c r="L14" s="17"/>
      <c r="M14" s="17"/>
      <c r="N14" s="46"/>
      <c r="O14" s="22"/>
      <c r="P14" s="22"/>
      <c r="Q14" s="22"/>
    </row>
    <row r="15" spans="2:17" ht="13" x14ac:dyDescent="0.3">
      <c r="B15" s="40" t="s">
        <v>128</v>
      </c>
      <c r="C15" s="40"/>
      <c r="D15" s="40"/>
      <c r="E15" s="40"/>
      <c r="F15" s="40"/>
      <c r="G15" s="42"/>
      <c r="H15" s="186"/>
      <c r="I15" s="17"/>
      <c r="J15" s="17"/>
      <c r="K15" s="17"/>
      <c r="L15" s="17"/>
      <c r="M15" s="17"/>
      <c r="N15" s="46"/>
      <c r="O15" s="22"/>
      <c r="P15" s="22"/>
      <c r="Q15" s="22"/>
    </row>
    <row r="16" spans="2:17" ht="13" x14ac:dyDescent="0.3">
      <c r="B16" s="40" t="s">
        <v>129</v>
      </c>
      <c r="C16" s="40"/>
      <c r="D16" s="40"/>
      <c r="E16" s="40"/>
      <c r="F16" s="40"/>
      <c r="G16" s="42"/>
      <c r="H16" s="186"/>
      <c r="I16" s="17"/>
      <c r="J16" s="17"/>
      <c r="K16" s="17"/>
      <c r="L16" s="17"/>
      <c r="M16" s="17"/>
      <c r="N16" s="46"/>
      <c r="O16" s="22"/>
      <c r="P16" s="22"/>
      <c r="Q16" s="22"/>
    </row>
    <row r="17" spans="2:17" ht="13" x14ac:dyDescent="0.3">
      <c r="B17" s="47" t="s">
        <v>316</v>
      </c>
      <c r="C17" s="40"/>
      <c r="D17" s="40"/>
      <c r="E17" s="40"/>
      <c r="F17" s="40"/>
      <c r="G17" s="42"/>
      <c r="H17" s="186"/>
      <c r="I17" s="17"/>
      <c r="J17" s="17"/>
      <c r="K17" s="17"/>
      <c r="L17" s="17"/>
      <c r="M17" s="17"/>
      <c r="N17" s="46"/>
      <c r="O17" s="22"/>
      <c r="P17" s="22"/>
      <c r="Q17" s="22"/>
    </row>
    <row r="18" spans="2:17" ht="13" x14ac:dyDescent="0.3">
      <c r="B18" s="40" t="s">
        <v>130</v>
      </c>
      <c r="C18" s="40"/>
      <c r="D18" s="40"/>
      <c r="E18" s="40"/>
      <c r="F18" s="40"/>
      <c r="G18" s="42"/>
      <c r="H18" s="186"/>
      <c r="I18" s="17"/>
      <c r="J18" s="17"/>
      <c r="K18" s="17"/>
      <c r="L18" s="17"/>
      <c r="M18" s="17"/>
      <c r="N18" s="46"/>
      <c r="O18" s="22"/>
      <c r="P18" s="22"/>
      <c r="Q18" s="22"/>
    </row>
    <row r="19" spans="2:17" ht="13" x14ac:dyDescent="0.3">
      <c r="B19" s="40" t="s">
        <v>131</v>
      </c>
      <c r="C19" s="40"/>
      <c r="D19" s="40"/>
      <c r="E19" s="40"/>
      <c r="F19" s="40"/>
      <c r="G19" s="42"/>
      <c r="H19" s="186"/>
      <c r="I19" s="17"/>
      <c r="J19" s="17"/>
      <c r="K19" s="17"/>
      <c r="L19" s="17"/>
      <c r="M19" s="17"/>
      <c r="N19" s="46"/>
      <c r="O19" s="35"/>
      <c r="P19" s="35"/>
      <c r="Q19" s="22"/>
    </row>
    <row r="20" spans="2:17" ht="13.5" thickBot="1" x14ac:dyDescent="0.35">
      <c r="B20" s="40" t="s">
        <v>132</v>
      </c>
      <c r="C20" s="40"/>
      <c r="D20" s="40"/>
      <c r="E20" s="40"/>
      <c r="F20" s="40"/>
      <c r="G20" s="42"/>
      <c r="H20" s="187"/>
      <c r="I20" s="48"/>
      <c r="J20" s="48"/>
      <c r="K20" s="48"/>
      <c r="L20" s="48"/>
      <c r="M20" s="49"/>
      <c r="N20" s="46"/>
      <c r="O20" s="35"/>
      <c r="P20" s="35"/>
      <c r="Q20" s="35"/>
    </row>
    <row r="21" spans="2:17" ht="13.5" thickTop="1" x14ac:dyDescent="0.3">
      <c r="B21" s="40"/>
      <c r="C21" s="35"/>
      <c r="D21" s="40"/>
      <c r="E21" s="40"/>
      <c r="F21" s="40"/>
      <c r="G21" s="40"/>
      <c r="H21" s="50" t="s">
        <v>313</v>
      </c>
      <c r="I21" s="42"/>
      <c r="J21" s="42"/>
      <c r="K21" s="42"/>
      <c r="L21" s="42"/>
      <c r="M21" s="42"/>
      <c r="N21" s="40"/>
      <c r="O21" s="35"/>
      <c r="P21" s="35"/>
      <c r="Q21" s="35"/>
    </row>
    <row r="22" spans="2:17" x14ac:dyDescent="0.25">
      <c r="B22" s="22"/>
      <c r="C22" s="42"/>
      <c r="D22" s="22"/>
      <c r="E22" s="22"/>
      <c r="F22" s="22"/>
      <c r="G22" s="41"/>
      <c r="H22" s="22"/>
      <c r="I22" s="22"/>
      <c r="J22" s="2"/>
      <c r="K22" s="35"/>
      <c r="L22" s="22"/>
      <c r="M22" s="22"/>
      <c r="N22" s="22"/>
      <c r="O22" s="35"/>
      <c r="P22" s="35"/>
      <c r="Q22" s="35"/>
    </row>
    <row r="23" spans="2:17" ht="13" x14ac:dyDescent="0.3">
      <c r="B23" s="42" t="s">
        <v>321</v>
      </c>
      <c r="C23" s="188">
        <v>455</v>
      </c>
      <c r="D23" s="22"/>
      <c r="E23" s="22"/>
      <c r="F23" s="51" t="s">
        <v>133</v>
      </c>
      <c r="G23" s="189">
        <v>12</v>
      </c>
      <c r="H23" s="46" t="s">
        <v>134</v>
      </c>
      <c r="I23" s="35"/>
      <c r="J23" s="35" t="str">
        <f>IF(OR(G23&lt;1,G23&gt;12),"Must be integer 1-12",TEXT(G23*30,"mmm"))</f>
        <v>Dec</v>
      </c>
      <c r="K23" s="52"/>
      <c r="L23" s="22"/>
      <c r="M23" s="52"/>
      <c r="N23" s="52"/>
      <c r="O23" s="35"/>
      <c r="P23" s="35"/>
      <c r="Q23" s="35"/>
    </row>
    <row r="24" spans="2:17" ht="13" x14ac:dyDescent="0.3">
      <c r="B24" s="42" t="s">
        <v>135</v>
      </c>
      <c r="C24" s="190">
        <v>0.35</v>
      </c>
      <c r="D24" s="22"/>
      <c r="E24" s="35"/>
      <c r="F24" s="35"/>
      <c r="G24" s="42"/>
      <c r="H24" s="35"/>
      <c r="I24" s="35"/>
      <c r="J24" s="35"/>
      <c r="K24" s="52" t="str">
        <f>IF(AND(E31&gt;12,I31&gt;0),"permitted if rating period exceeds 12 months","")</f>
        <v/>
      </c>
      <c r="L24" s="52"/>
      <c r="M24" s="52"/>
      <c r="N24" s="52"/>
      <c r="O24" s="35"/>
      <c r="P24" s="35"/>
      <c r="Q24" s="35"/>
    </row>
    <row r="25" spans="2:17" ht="13" x14ac:dyDescent="0.3">
      <c r="B25" s="40"/>
      <c r="C25" s="53"/>
      <c r="D25" s="54"/>
      <c r="E25" s="54"/>
      <c r="F25" s="54"/>
      <c r="G25" s="54"/>
      <c r="H25" s="54"/>
      <c r="I25" s="54"/>
      <c r="J25" s="54"/>
      <c r="K25" s="54"/>
      <c r="L25" s="53"/>
      <c r="M25" s="54"/>
      <c r="N25" s="54"/>
      <c r="O25" s="35"/>
      <c r="P25" s="35"/>
      <c r="Q25" s="22"/>
    </row>
    <row r="26" spans="2:17" x14ac:dyDescent="0.25">
      <c r="B26" s="42" t="s">
        <v>136</v>
      </c>
      <c r="C26" s="55" t="s">
        <v>137</v>
      </c>
      <c r="D26" s="56" t="s">
        <v>137</v>
      </c>
      <c r="E26" s="35" t="s">
        <v>138</v>
      </c>
      <c r="F26" s="35"/>
      <c r="G26" s="35"/>
      <c r="H26" s="57"/>
      <c r="I26" s="35" t="s">
        <v>139</v>
      </c>
      <c r="J26" s="22"/>
      <c r="K26" s="35"/>
      <c r="L26" s="35"/>
      <c r="M26" s="35"/>
      <c r="N26" s="58" t="s">
        <v>140</v>
      </c>
      <c r="O26" s="35"/>
      <c r="P26" s="35"/>
      <c r="Q26" s="22"/>
    </row>
    <row r="27" spans="2:17" x14ac:dyDescent="0.25">
      <c r="B27" s="42" t="s">
        <v>142</v>
      </c>
      <c r="C27" s="46" t="s">
        <v>143</v>
      </c>
      <c r="D27" s="56" t="s">
        <v>144</v>
      </c>
      <c r="E27" s="59" t="s">
        <v>145</v>
      </c>
      <c r="F27" s="59" t="s">
        <v>146</v>
      </c>
      <c r="G27" s="59" t="s">
        <v>147</v>
      </c>
      <c r="H27" s="56" t="s">
        <v>148</v>
      </c>
      <c r="I27" s="59" t="s">
        <v>140</v>
      </c>
      <c r="J27" s="59" t="s">
        <v>145</v>
      </c>
      <c r="K27" s="59" t="s">
        <v>149</v>
      </c>
      <c r="L27" s="60" t="s">
        <v>432</v>
      </c>
      <c r="M27" s="59" t="s">
        <v>148</v>
      </c>
      <c r="N27" s="58" t="s">
        <v>141</v>
      </c>
      <c r="O27" s="59"/>
      <c r="P27" s="59"/>
      <c r="Q27" s="22"/>
    </row>
    <row r="28" spans="2:17" x14ac:dyDescent="0.25">
      <c r="B28" s="42" t="s">
        <v>72</v>
      </c>
      <c r="C28" s="61" t="s">
        <v>150</v>
      </c>
      <c r="D28" s="56" t="s">
        <v>150</v>
      </c>
      <c r="E28" s="59" t="s">
        <v>151</v>
      </c>
      <c r="F28" s="59" t="s">
        <v>152</v>
      </c>
      <c r="G28" s="59" t="s">
        <v>153</v>
      </c>
      <c r="H28" s="56" t="s">
        <v>150</v>
      </c>
      <c r="I28" s="59" t="s">
        <v>141</v>
      </c>
      <c r="J28" s="59" t="s">
        <v>151</v>
      </c>
      <c r="K28" s="59" t="s">
        <v>154</v>
      </c>
      <c r="L28" s="62" t="s">
        <v>433</v>
      </c>
      <c r="M28" s="59" t="s">
        <v>150</v>
      </c>
      <c r="N28" s="58" t="s">
        <v>155</v>
      </c>
      <c r="O28" s="59"/>
      <c r="P28" s="59"/>
      <c r="Q28" s="22"/>
    </row>
    <row r="29" spans="2:17" ht="13" x14ac:dyDescent="0.3">
      <c r="B29" s="35"/>
      <c r="C29" s="63"/>
      <c r="D29" s="63"/>
      <c r="E29" s="63"/>
      <c r="F29" s="63"/>
      <c r="G29" s="63"/>
      <c r="H29" s="63"/>
      <c r="I29" s="63"/>
      <c r="J29" s="63"/>
      <c r="K29" s="63"/>
      <c r="L29" s="63"/>
      <c r="M29" s="63"/>
      <c r="N29" s="63"/>
      <c r="O29" s="22"/>
      <c r="P29" s="22"/>
      <c r="Q29" s="22"/>
    </row>
    <row r="30" spans="2:17" x14ac:dyDescent="0.25">
      <c r="B30" s="42" t="s">
        <v>77</v>
      </c>
      <c r="C30" s="64" t="s">
        <v>5</v>
      </c>
      <c r="D30" s="56" t="s">
        <v>5</v>
      </c>
      <c r="E30" s="59" t="s">
        <v>5</v>
      </c>
      <c r="F30" s="59" t="s">
        <v>5</v>
      </c>
      <c r="G30" s="59" t="s">
        <v>5</v>
      </c>
      <c r="H30" s="9">
        <f>C24</f>
        <v>0.35</v>
      </c>
      <c r="I30" s="28" t="s">
        <v>5</v>
      </c>
      <c r="J30" s="59" t="s">
        <v>5</v>
      </c>
      <c r="K30" s="59" t="s">
        <v>5</v>
      </c>
      <c r="L30" s="59" t="s">
        <v>5</v>
      </c>
      <c r="M30" s="59" t="s">
        <v>5</v>
      </c>
      <c r="N30" s="58" t="s">
        <v>5</v>
      </c>
      <c r="O30" s="8"/>
      <c r="P30" s="2"/>
      <c r="Q30" s="22"/>
    </row>
    <row r="31" spans="2:17" x14ac:dyDescent="0.25">
      <c r="B31" s="42" t="s">
        <v>406</v>
      </c>
      <c r="C31" s="46">
        <v>5</v>
      </c>
      <c r="D31" s="57">
        <v>12</v>
      </c>
      <c r="E31" s="2">
        <v>7</v>
      </c>
      <c r="F31" s="598">
        <v>163</v>
      </c>
      <c r="G31" s="598">
        <v>209</v>
      </c>
      <c r="H31" s="9">
        <f>IF($C$23=0,0,(7/12)*(F31+G31)/($C$23*2))</f>
        <v>0.23846153846153847</v>
      </c>
      <c r="I31" s="599">
        <v>6</v>
      </c>
      <c r="J31" s="1">
        <f>IF(OR(OR(OR(I31=0,I31=G23),I31=IF(G23+5&gt;12,G23-7,G23+5)),I31&gt;12),0,IF(IF(I31&gt;IF(G23+5&gt;12,G23-7,G23+5),I31,I31+12)&gt;G23+E31+5,"Invalid",IF(I31&gt;IF(G23+5&gt;12,G23-7,G23+5),I31-IF(G23+5&gt;12,G23-7,G23+5),I31+12-IF(G23+5&gt;12,G23-7,G23+5))))</f>
        <v>1</v>
      </c>
      <c r="K31" s="191">
        <f t="shared" ref="K31:K40" si="0">F31</f>
        <v>163</v>
      </c>
      <c r="L31" s="598">
        <v>163</v>
      </c>
      <c r="M31" s="8">
        <f t="shared" ref="M31:M40" si="1">IF($C$23=0,0,(J31/12)*(K31+L31)/($C$23*2))</f>
        <v>2.9853479853479852E-2</v>
      </c>
      <c r="N31" s="65" t="str">
        <f t="shared" ref="N31:N40" si="2">IF(OR(I31=0,I31&gt;12),TEXT($G$23*30,"mmm"),TEXT(I31*30,"mmm"))</f>
        <v>Jun</v>
      </c>
      <c r="O31" s="8"/>
      <c r="P31" s="66"/>
      <c r="Q31" s="8"/>
    </row>
    <row r="32" spans="2:17" x14ac:dyDescent="0.25">
      <c r="B32" s="42" t="s">
        <v>156</v>
      </c>
      <c r="C32" s="46">
        <v>12</v>
      </c>
      <c r="D32" s="57">
        <v>24</v>
      </c>
      <c r="E32" s="2">
        <v>12</v>
      </c>
      <c r="F32" s="599">
        <v>204</v>
      </c>
      <c r="G32" s="598">
        <v>312</v>
      </c>
      <c r="H32" s="9">
        <f t="shared" ref="H32:H40" si="3">IF($C$23=0,0,(F32+G32)/($C$23*2))</f>
        <v>0.56703296703296702</v>
      </c>
      <c r="I32" s="599">
        <v>6</v>
      </c>
      <c r="J32" s="2">
        <f>IF(OR(OR(I32=0,I32=$G23),I32&gt;12),0,IF(I32&gt;$G23,I32-$G23,I32+12-$G23))</f>
        <v>6</v>
      </c>
      <c r="K32" s="191">
        <f t="shared" si="0"/>
        <v>204</v>
      </c>
      <c r="L32" s="598">
        <v>294</v>
      </c>
      <c r="M32" s="8">
        <f t="shared" si="1"/>
        <v>0.27362637362637365</v>
      </c>
      <c r="N32" s="65" t="str">
        <f t="shared" si="2"/>
        <v>Jun</v>
      </c>
      <c r="O32" s="8"/>
      <c r="P32" s="66"/>
      <c r="Q32" s="8"/>
    </row>
    <row r="33" spans="2:17" x14ac:dyDescent="0.25">
      <c r="B33" s="42" t="s">
        <v>157</v>
      </c>
      <c r="C33" s="46">
        <v>24</v>
      </c>
      <c r="D33" s="57">
        <v>36</v>
      </c>
      <c r="E33" s="2">
        <v>12</v>
      </c>
      <c r="F33" s="600">
        <f>G32</f>
        <v>312</v>
      </c>
      <c r="G33" s="598">
        <v>420</v>
      </c>
      <c r="H33" s="9">
        <f t="shared" si="3"/>
        <v>0.80439560439560442</v>
      </c>
      <c r="I33" s="599">
        <v>5</v>
      </c>
      <c r="J33" s="2">
        <f>IF(OR(OR(I33=0,I33=$G23),I33&gt;12),0,IF(I33&gt;$G23,I33-$G23,I33+12-$G23))</f>
        <v>5</v>
      </c>
      <c r="K33" s="191">
        <f t="shared" si="0"/>
        <v>312</v>
      </c>
      <c r="L33" s="598">
        <v>396</v>
      </c>
      <c r="M33" s="8">
        <f t="shared" si="1"/>
        <v>0.32417582417582419</v>
      </c>
      <c r="N33" s="65" t="str">
        <f t="shared" si="2"/>
        <v>May</v>
      </c>
      <c r="O33" s="8"/>
      <c r="P33" s="66"/>
      <c r="Q33" s="8"/>
    </row>
    <row r="34" spans="2:17" x14ac:dyDescent="0.25">
      <c r="B34" s="42" t="s">
        <v>158</v>
      </c>
      <c r="C34" s="67" t="s">
        <v>5</v>
      </c>
      <c r="D34" s="56" t="s">
        <v>5</v>
      </c>
      <c r="E34" s="2">
        <v>12</v>
      </c>
      <c r="F34" s="598">
        <v>450</v>
      </c>
      <c r="G34" s="598">
        <v>450</v>
      </c>
      <c r="H34" s="9">
        <f t="shared" si="3"/>
        <v>0.98901098901098905</v>
      </c>
      <c r="I34" s="599">
        <v>6</v>
      </c>
      <c r="J34" s="2">
        <f>IF(OR(OR(I34=0,I34=$G23),I34&gt;12),0,IF(I34&gt;$G23,I34-$G23,I34+12-$G23))</f>
        <v>6</v>
      </c>
      <c r="K34" s="191">
        <f t="shared" si="0"/>
        <v>450</v>
      </c>
      <c r="L34" s="598">
        <v>450</v>
      </c>
      <c r="M34" s="8">
        <f t="shared" si="1"/>
        <v>0.49450549450549453</v>
      </c>
      <c r="N34" s="65" t="str">
        <f t="shared" si="2"/>
        <v>Jun</v>
      </c>
      <c r="O34" s="8"/>
      <c r="P34" s="66"/>
      <c r="Q34" s="8"/>
    </row>
    <row r="35" spans="2:17" x14ac:dyDescent="0.25">
      <c r="B35" s="42" t="s">
        <v>159</v>
      </c>
      <c r="C35" s="46">
        <v>12</v>
      </c>
      <c r="D35" s="57">
        <v>24</v>
      </c>
      <c r="E35" s="2">
        <v>12</v>
      </c>
      <c r="F35" s="599">
        <v>213</v>
      </c>
      <c r="G35" s="598">
        <v>327</v>
      </c>
      <c r="H35" s="9">
        <f t="shared" si="3"/>
        <v>0.59340659340659341</v>
      </c>
      <c r="I35" s="599">
        <v>5</v>
      </c>
      <c r="J35" s="2">
        <f>IF(OR(OR(I35=0,I35=$G23),I35&gt;12),0,IF(I35&gt;$G23,I35-$G23,I35+12-$G23))</f>
        <v>5</v>
      </c>
      <c r="K35" s="191">
        <f t="shared" si="0"/>
        <v>213</v>
      </c>
      <c r="L35" s="598">
        <v>300</v>
      </c>
      <c r="M35" s="8">
        <f t="shared" si="1"/>
        <v>0.23489010989010989</v>
      </c>
      <c r="N35" s="65" t="str">
        <f t="shared" si="2"/>
        <v>May</v>
      </c>
      <c r="O35" s="8"/>
      <c r="P35" s="66"/>
      <c r="Q35" s="8"/>
    </row>
    <row r="36" spans="2:17" x14ac:dyDescent="0.25">
      <c r="B36" s="42" t="s">
        <v>160</v>
      </c>
      <c r="C36" s="46">
        <v>24</v>
      </c>
      <c r="D36" s="57">
        <v>36</v>
      </c>
      <c r="E36" s="2">
        <v>12</v>
      </c>
      <c r="F36" s="600">
        <f>G35</f>
        <v>327</v>
      </c>
      <c r="G36" s="598">
        <v>441</v>
      </c>
      <c r="H36" s="9">
        <f t="shared" si="3"/>
        <v>0.84395604395604396</v>
      </c>
      <c r="I36" s="599">
        <v>5</v>
      </c>
      <c r="J36" s="2">
        <f>IF(OR(OR(I36=0,I36=$G23),I36&gt;12),0,IF(I36&gt;$G23,I36-$G23,I36+12-$G23))</f>
        <v>5</v>
      </c>
      <c r="K36" s="191">
        <f t="shared" si="0"/>
        <v>327</v>
      </c>
      <c r="L36" s="598">
        <v>418</v>
      </c>
      <c r="M36" s="8">
        <f t="shared" si="1"/>
        <v>0.34111721611721613</v>
      </c>
      <c r="N36" s="65" t="str">
        <f t="shared" si="2"/>
        <v>May</v>
      </c>
      <c r="O36" s="8"/>
      <c r="P36" s="66"/>
      <c r="Q36" s="8"/>
    </row>
    <row r="37" spans="2:17" x14ac:dyDescent="0.25">
      <c r="B37" s="42" t="s">
        <v>161</v>
      </c>
      <c r="C37" s="46">
        <v>36</v>
      </c>
      <c r="D37" s="57">
        <v>48</v>
      </c>
      <c r="E37" s="2">
        <v>12</v>
      </c>
      <c r="F37" s="599">
        <v>300</v>
      </c>
      <c r="G37" s="598">
        <v>440</v>
      </c>
      <c r="H37" s="9">
        <f t="shared" si="3"/>
        <v>0.81318681318681318</v>
      </c>
      <c r="I37" s="599">
        <v>5</v>
      </c>
      <c r="J37" s="2">
        <f>IF(OR(OR(I37=0,I37=$G23),I37&gt;12),0,IF(I37&gt;$G23,I37-$G23,I37+12-$G23))</f>
        <v>5</v>
      </c>
      <c r="K37" s="191">
        <f t="shared" si="0"/>
        <v>300</v>
      </c>
      <c r="L37" s="598">
        <v>414</v>
      </c>
      <c r="M37" s="8">
        <f t="shared" si="1"/>
        <v>0.32692307692307693</v>
      </c>
      <c r="N37" s="65" t="str">
        <f t="shared" si="2"/>
        <v>May</v>
      </c>
      <c r="O37" s="8"/>
      <c r="P37" s="66"/>
      <c r="Q37" s="8"/>
    </row>
    <row r="38" spans="2:17" x14ac:dyDescent="0.25">
      <c r="B38" s="42" t="s">
        <v>162</v>
      </c>
      <c r="C38" s="46">
        <v>48</v>
      </c>
      <c r="D38" s="57">
        <v>60</v>
      </c>
      <c r="E38" s="2">
        <v>12</v>
      </c>
      <c r="F38" s="599">
        <v>0</v>
      </c>
      <c r="G38" s="598">
        <v>0</v>
      </c>
      <c r="H38" s="9">
        <f t="shared" si="3"/>
        <v>0</v>
      </c>
      <c r="I38" s="599">
        <v>6</v>
      </c>
      <c r="J38" s="2">
        <f>IF(OR(OR(I38=0,I38=$G23),I38&gt;12),0,IF(I38&gt;$G23,I38-$G23,I38+12-$G23))</f>
        <v>6</v>
      </c>
      <c r="K38" s="191">
        <f t="shared" si="0"/>
        <v>0</v>
      </c>
      <c r="L38" s="598">
        <v>0</v>
      </c>
      <c r="M38" s="8">
        <f t="shared" si="1"/>
        <v>0</v>
      </c>
      <c r="N38" s="65" t="str">
        <f t="shared" si="2"/>
        <v>Jun</v>
      </c>
      <c r="O38" s="8"/>
      <c r="P38" s="66"/>
      <c r="Q38" s="8"/>
    </row>
    <row r="39" spans="2:17" x14ac:dyDescent="0.25">
      <c r="B39" s="42" t="s">
        <v>248</v>
      </c>
      <c r="C39" s="46">
        <v>60</v>
      </c>
      <c r="D39" s="57">
        <v>72</v>
      </c>
      <c r="E39" s="2">
        <v>12</v>
      </c>
      <c r="F39" s="600">
        <f>G38</f>
        <v>0</v>
      </c>
      <c r="G39" s="598">
        <v>0</v>
      </c>
      <c r="H39" s="9">
        <f t="shared" si="3"/>
        <v>0</v>
      </c>
      <c r="I39" s="600">
        <v>12</v>
      </c>
      <c r="J39" s="2">
        <f>IF(OR(OR(I39=0,I39=$G23),I39&gt;12),0,IF(I39&gt;$G23,I39-$G23,I39+12-$G23))</f>
        <v>0</v>
      </c>
      <c r="K39" s="191">
        <f t="shared" si="0"/>
        <v>0</v>
      </c>
      <c r="L39" s="598">
        <v>0</v>
      </c>
      <c r="M39" s="8">
        <f t="shared" si="1"/>
        <v>0</v>
      </c>
      <c r="N39" s="65" t="str">
        <f t="shared" si="2"/>
        <v>Dec</v>
      </c>
      <c r="O39" s="8"/>
      <c r="P39" s="66"/>
      <c r="Q39" s="8"/>
    </row>
    <row r="40" spans="2:17" x14ac:dyDescent="0.25">
      <c r="B40" s="42" t="s">
        <v>163</v>
      </c>
      <c r="C40" s="68" t="s">
        <v>5</v>
      </c>
      <c r="D40" s="56" t="s">
        <v>5</v>
      </c>
      <c r="E40" s="2">
        <v>12</v>
      </c>
      <c r="F40" s="598">
        <v>700</v>
      </c>
      <c r="G40" s="598">
        <v>700</v>
      </c>
      <c r="H40" s="9">
        <f t="shared" si="3"/>
        <v>1.5384615384615385</v>
      </c>
      <c r="I40" s="599">
        <v>6</v>
      </c>
      <c r="J40" s="2">
        <f>IF(OR(OR(I40=0,I40=$G23),I40&gt;12),0,IF(I40&gt;$G23,I40-$G23,I40+12-$G23))</f>
        <v>6</v>
      </c>
      <c r="K40" s="191">
        <f t="shared" si="0"/>
        <v>700</v>
      </c>
      <c r="L40" s="598">
        <v>700</v>
      </c>
      <c r="M40" s="8">
        <f t="shared" si="1"/>
        <v>0.76923076923076927</v>
      </c>
      <c r="N40" s="65" t="str">
        <f t="shared" si="2"/>
        <v>Jun</v>
      </c>
      <c r="O40" s="8"/>
      <c r="P40" s="66"/>
      <c r="Q40" s="8"/>
    </row>
    <row r="41" spans="2:17" ht="13" x14ac:dyDescent="0.3">
      <c r="B41" s="40"/>
      <c r="C41" s="69"/>
      <c r="D41" s="69"/>
      <c r="E41" s="69"/>
      <c r="F41" s="69"/>
      <c r="G41" s="69"/>
      <c r="H41" s="69"/>
      <c r="I41" s="69"/>
      <c r="J41" s="69"/>
      <c r="K41" s="69"/>
      <c r="L41" s="69"/>
      <c r="M41" s="69"/>
      <c r="N41" s="69"/>
      <c r="O41" s="22"/>
      <c r="P41" s="22"/>
      <c r="Q41" s="22"/>
    </row>
    <row r="42" spans="2:17" ht="13" x14ac:dyDescent="0.3">
      <c r="B42" s="40" t="s">
        <v>164</v>
      </c>
      <c r="C42" s="35"/>
      <c r="D42" s="35"/>
      <c r="E42" s="35"/>
      <c r="F42" s="35"/>
      <c r="G42" s="35"/>
      <c r="H42" s="35"/>
      <c r="I42" s="35"/>
      <c r="J42" s="35"/>
      <c r="K42" s="35"/>
      <c r="L42" s="35"/>
      <c r="M42" s="35"/>
      <c r="N42" s="35"/>
      <c r="O42" s="35"/>
      <c r="P42" s="35"/>
      <c r="Q42" s="35"/>
    </row>
    <row r="43" spans="2:17" ht="13" x14ac:dyDescent="0.3">
      <c r="B43" s="47" t="s">
        <v>355</v>
      </c>
      <c r="C43" s="35"/>
      <c r="D43" s="35"/>
      <c r="E43" s="35"/>
      <c r="F43" s="35"/>
      <c r="G43" s="35"/>
      <c r="H43" s="35"/>
      <c r="I43" s="35"/>
      <c r="J43" s="35"/>
      <c r="K43" s="35"/>
      <c r="L43" s="35"/>
      <c r="M43" s="35"/>
      <c r="N43" s="35"/>
      <c r="O43" s="35"/>
      <c r="P43" s="35"/>
      <c r="Q43" s="35"/>
    </row>
    <row r="44" spans="2:17" ht="13" x14ac:dyDescent="0.3">
      <c r="B44" s="47" t="s">
        <v>356</v>
      </c>
      <c r="C44" s="35"/>
      <c r="D44" s="35"/>
      <c r="E44" s="35"/>
      <c r="F44" s="35"/>
      <c r="G44" s="35"/>
      <c r="H44" s="35"/>
      <c r="I44" s="35"/>
      <c r="J44" s="35"/>
      <c r="K44" s="35"/>
      <c r="L44" s="35"/>
      <c r="M44" s="35"/>
      <c r="N44" s="35"/>
      <c r="O44" s="35"/>
      <c r="P44" s="35"/>
      <c r="Q44" s="35"/>
    </row>
    <row r="45" spans="2:17" ht="13" x14ac:dyDescent="0.3">
      <c r="B45" s="47" t="s">
        <v>315</v>
      </c>
      <c r="C45" s="35"/>
      <c r="D45" s="35"/>
      <c r="E45" s="35"/>
      <c r="F45" s="35"/>
      <c r="G45" s="35"/>
      <c r="H45" s="35"/>
      <c r="I45" s="35"/>
      <c r="J45" s="35"/>
      <c r="K45" s="35"/>
      <c r="L45" s="35"/>
      <c r="M45" s="35"/>
      <c r="N45" s="35"/>
      <c r="O45" s="35"/>
      <c r="P45" s="35"/>
      <c r="Q45" s="35"/>
    </row>
    <row r="46" spans="2:17" ht="13" x14ac:dyDescent="0.3">
      <c r="B46" s="47" t="s">
        <v>369</v>
      </c>
      <c r="C46" s="35"/>
      <c r="D46" s="35"/>
      <c r="E46" s="35"/>
      <c r="F46" s="35"/>
      <c r="G46" s="35"/>
      <c r="H46" s="35"/>
      <c r="I46" s="35"/>
      <c r="J46" s="35"/>
      <c r="K46" s="35"/>
      <c r="L46" s="35"/>
      <c r="M46" s="35"/>
      <c r="N46" s="35"/>
      <c r="O46" s="35"/>
      <c r="P46" s="35"/>
      <c r="Q46" s="35"/>
    </row>
    <row r="47" spans="2:17" ht="13" x14ac:dyDescent="0.3">
      <c r="B47" s="40"/>
      <c r="C47" s="35"/>
      <c r="D47" s="35"/>
      <c r="E47" s="35"/>
      <c r="F47" s="35"/>
      <c r="G47" s="35"/>
      <c r="H47" s="35"/>
      <c r="I47" s="35"/>
      <c r="J47" s="35"/>
      <c r="K47" s="35"/>
      <c r="L47" s="35"/>
      <c r="M47" s="35"/>
      <c r="N47" s="35"/>
      <c r="O47" s="35"/>
      <c r="P47" s="35"/>
      <c r="Q47" s="35"/>
    </row>
    <row r="48" spans="2:17" ht="13" x14ac:dyDescent="0.3">
      <c r="B48" s="47" t="s">
        <v>165</v>
      </c>
      <c r="C48" s="40"/>
      <c r="D48" s="22"/>
      <c r="E48" s="22"/>
      <c r="F48" s="22"/>
      <c r="G48" s="22"/>
      <c r="H48" s="22"/>
      <c r="I48" s="22"/>
      <c r="J48" s="22"/>
      <c r="K48" s="22"/>
      <c r="L48" s="22"/>
      <c r="M48" s="22"/>
      <c r="N48" s="22"/>
      <c r="O48" s="22"/>
      <c r="P48" s="22"/>
      <c r="Q48" s="22"/>
    </row>
    <row r="49" spans="2:17" ht="13" x14ac:dyDescent="0.3">
      <c r="B49" s="47" t="s">
        <v>166</v>
      </c>
      <c r="C49" s="40"/>
      <c r="D49" s="22"/>
      <c r="E49" s="22"/>
      <c r="F49" s="22"/>
      <c r="G49" s="22"/>
      <c r="H49" s="22"/>
      <c r="I49" s="22"/>
      <c r="J49" s="22"/>
      <c r="K49" s="22"/>
      <c r="L49" s="22"/>
      <c r="M49" s="22"/>
      <c r="N49" s="22"/>
      <c r="O49" s="22"/>
      <c r="P49" s="22"/>
      <c r="Q49" s="22"/>
    </row>
  </sheetData>
  <phoneticPr fontId="0" type="noConversion"/>
  <pageMargins left="1.036" right="1.036" top="1.036" bottom="1.036"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dimension ref="A1:U70"/>
  <sheetViews>
    <sheetView showGridLines="0" workbookViewId="0">
      <selection activeCell="B2" sqref="B2"/>
    </sheetView>
  </sheetViews>
  <sheetFormatPr defaultColWidth="9.6328125" defaultRowHeight="12.5" x14ac:dyDescent="0.25"/>
  <cols>
    <col min="1" max="1" width="1.6328125" customWidth="1"/>
    <col min="2" max="2" width="22.36328125" customWidth="1"/>
    <col min="3" max="3" width="12.36328125" customWidth="1"/>
    <col min="4" max="4" width="11.08984375" customWidth="1"/>
    <col min="5" max="5" width="10.54296875" customWidth="1"/>
    <col min="7" max="7" width="11.90625" customWidth="1"/>
    <col min="8" max="8" width="11.6328125" customWidth="1"/>
    <col min="10" max="10" width="10.6328125" customWidth="1"/>
    <col min="11" max="11" width="13.453125" customWidth="1"/>
    <col min="13" max="13" width="6.6328125" customWidth="1"/>
    <col min="15" max="15" width="11.6328125" customWidth="1"/>
    <col min="16" max="16" width="10.6328125" bestFit="1" customWidth="1"/>
    <col min="17" max="17" width="11.6328125" customWidth="1"/>
    <col min="19" max="19" width="10.6328125" customWidth="1"/>
    <col min="20" max="20" width="14.453125" customWidth="1"/>
    <col min="21" max="21" width="8" customWidth="1"/>
  </cols>
  <sheetData>
    <row r="1" spans="1:18" ht="13" x14ac:dyDescent="0.3">
      <c r="A1" s="70"/>
      <c r="B1" s="71" t="s">
        <v>454</v>
      </c>
      <c r="C1" s="70"/>
      <c r="D1" s="70"/>
      <c r="E1" s="70"/>
      <c r="F1" s="70"/>
      <c r="G1" s="72" t="s">
        <v>224</v>
      </c>
      <c r="H1" s="320" t="str">
        <f>AECalc!H1</f>
        <v>NQ Gulf Example herd</v>
      </c>
      <c r="I1" s="73"/>
      <c r="J1" s="73"/>
      <c r="K1" s="73"/>
      <c r="L1" s="37"/>
      <c r="M1" s="37"/>
      <c r="N1" s="37"/>
      <c r="O1" s="37"/>
      <c r="P1" s="37"/>
      <c r="Q1" s="37"/>
      <c r="R1" s="22"/>
    </row>
    <row r="2" spans="1:18" ht="13" x14ac:dyDescent="0.3">
      <c r="A2" s="70"/>
      <c r="B2" s="70"/>
      <c r="C2" s="70"/>
      <c r="D2" s="70"/>
      <c r="E2" s="70"/>
      <c r="F2" s="70"/>
      <c r="G2" s="72" t="s">
        <v>225</v>
      </c>
      <c r="H2" s="321">
        <f>AECalc!H2</f>
        <v>43502</v>
      </c>
      <c r="I2" s="73"/>
      <c r="J2" s="73"/>
      <c r="K2" s="73"/>
      <c r="L2" s="37"/>
      <c r="M2" s="37"/>
      <c r="N2" s="37"/>
      <c r="O2" s="37"/>
      <c r="P2" s="37"/>
      <c r="Q2" s="37"/>
      <c r="R2" s="22"/>
    </row>
    <row r="3" spans="1:18" ht="13" x14ac:dyDescent="0.3">
      <c r="A3" s="70"/>
      <c r="B3" s="39" t="s">
        <v>314</v>
      </c>
      <c r="C3" s="70"/>
      <c r="D3" s="70"/>
      <c r="E3" s="70"/>
      <c r="F3" s="70"/>
      <c r="G3" s="72" t="s">
        <v>226</v>
      </c>
      <c r="H3" s="22"/>
      <c r="I3" s="70"/>
      <c r="J3" s="70"/>
      <c r="K3" s="70"/>
      <c r="L3" s="22"/>
      <c r="M3" s="22"/>
      <c r="N3" s="22"/>
      <c r="O3" s="22"/>
      <c r="P3" s="22"/>
      <c r="Q3" s="22"/>
      <c r="R3" s="22"/>
    </row>
    <row r="4" spans="1:18" x14ac:dyDescent="0.25">
      <c r="A4" s="70"/>
      <c r="B4" s="70"/>
      <c r="C4" s="70"/>
      <c r="D4" s="70"/>
      <c r="E4" s="70"/>
      <c r="F4" s="70"/>
      <c r="G4" s="70"/>
      <c r="H4" s="70"/>
      <c r="I4" s="70"/>
      <c r="J4" s="74"/>
      <c r="K4" s="70"/>
      <c r="L4" s="70"/>
      <c r="M4" s="70"/>
      <c r="N4" s="22"/>
      <c r="O4" s="22"/>
      <c r="P4" s="22"/>
      <c r="Q4" s="22"/>
      <c r="R4" s="22"/>
    </row>
    <row r="5" spans="1:18" ht="13" x14ac:dyDescent="0.3">
      <c r="A5" s="70"/>
      <c r="B5" s="75" t="s">
        <v>167</v>
      </c>
      <c r="C5" s="76" t="s">
        <v>168</v>
      </c>
      <c r="D5" s="76"/>
      <c r="E5" s="76"/>
      <c r="F5" s="70"/>
      <c r="G5" s="70"/>
      <c r="H5" s="70"/>
      <c r="I5" s="70"/>
      <c r="J5" s="70"/>
      <c r="K5" s="70"/>
      <c r="L5" s="70"/>
      <c r="M5" s="70"/>
      <c r="N5" s="22"/>
      <c r="O5" s="22"/>
      <c r="P5" s="22"/>
      <c r="Q5" s="22"/>
      <c r="R5" s="22"/>
    </row>
    <row r="6" spans="1:18" ht="13" x14ac:dyDescent="0.3">
      <c r="A6" s="70"/>
      <c r="B6" s="70"/>
      <c r="C6" s="76" t="s">
        <v>169</v>
      </c>
      <c r="D6" s="76"/>
      <c r="E6" s="76"/>
      <c r="F6" s="70"/>
      <c r="G6" s="70"/>
      <c r="H6" s="70"/>
      <c r="I6" s="70"/>
      <c r="J6" s="70"/>
      <c r="K6" s="70"/>
      <c r="L6" s="70"/>
      <c r="M6" s="70"/>
      <c r="N6" s="22"/>
      <c r="O6" s="22"/>
      <c r="P6" s="22"/>
      <c r="Q6" s="22"/>
      <c r="R6" s="22"/>
    </row>
    <row r="7" spans="1:18" x14ac:dyDescent="0.25">
      <c r="A7" s="70"/>
      <c r="B7" s="70"/>
      <c r="C7" s="53"/>
      <c r="D7" s="53"/>
      <c r="E7" s="53"/>
      <c r="F7" s="53"/>
      <c r="G7" s="53"/>
      <c r="H7" s="53"/>
      <c r="I7" s="53"/>
      <c r="J7" s="53"/>
      <c r="K7" s="53"/>
      <c r="L7" s="53"/>
      <c r="M7" s="70"/>
      <c r="N7" s="22"/>
      <c r="O7" s="22"/>
      <c r="P7" s="22"/>
      <c r="Q7" s="22"/>
      <c r="R7" s="22"/>
    </row>
    <row r="8" spans="1:18" x14ac:dyDescent="0.25">
      <c r="A8" s="70"/>
      <c r="B8" s="57" t="s">
        <v>170</v>
      </c>
      <c r="C8" s="77" t="s">
        <v>432</v>
      </c>
      <c r="D8" s="78" t="s">
        <v>434</v>
      </c>
      <c r="E8" s="78" t="s">
        <v>435</v>
      </c>
      <c r="F8" s="79" t="s">
        <v>172</v>
      </c>
      <c r="G8" s="67" t="s">
        <v>173</v>
      </c>
      <c r="H8" s="79" t="s">
        <v>174</v>
      </c>
      <c r="I8" s="79" t="s">
        <v>175</v>
      </c>
      <c r="J8" s="67" t="s">
        <v>176</v>
      </c>
      <c r="K8" s="80" t="s">
        <v>177</v>
      </c>
      <c r="L8" s="67" t="s">
        <v>178</v>
      </c>
      <c r="M8" s="46"/>
      <c r="N8" s="81" t="s">
        <v>69</v>
      </c>
      <c r="O8" s="81" t="s">
        <v>438</v>
      </c>
      <c r="P8" s="81" t="s">
        <v>439</v>
      </c>
      <c r="Q8" s="303" t="s">
        <v>178</v>
      </c>
      <c r="R8" s="81" t="s">
        <v>475</v>
      </c>
    </row>
    <row r="9" spans="1:18" x14ac:dyDescent="0.25">
      <c r="A9" s="70"/>
      <c r="B9" s="57"/>
      <c r="C9" s="78" t="s">
        <v>437</v>
      </c>
      <c r="D9" s="78" t="s">
        <v>436</v>
      </c>
      <c r="E9" s="77" t="s">
        <v>179</v>
      </c>
      <c r="F9" s="79" t="s">
        <v>180</v>
      </c>
      <c r="G9" s="67" t="s">
        <v>181</v>
      </c>
      <c r="H9" s="79" t="s">
        <v>182</v>
      </c>
      <c r="I9" s="79" t="s">
        <v>182</v>
      </c>
      <c r="J9" s="67" t="s">
        <v>172</v>
      </c>
      <c r="K9" s="79" t="s">
        <v>183</v>
      </c>
      <c r="L9" s="67" t="s">
        <v>172</v>
      </c>
      <c r="M9" s="46"/>
      <c r="N9" s="82" t="s">
        <v>74</v>
      </c>
      <c r="O9" s="82" t="s">
        <v>440</v>
      </c>
      <c r="P9" s="82" t="s">
        <v>441</v>
      </c>
      <c r="Q9" s="304" t="s">
        <v>440</v>
      </c>
      <c r="R9" s="82" t="s">
        <v>476</v>
      </c>
    </row>
    <row r="10" spans="1:18" x14ac:dyDescent="0.25">
      <c r="A10" s="70"/>
      <c r="B10" s="70"/>
      <c r="C10" s="83"/>
      <c r="D10" s="83"/>
      <c r="E10" s="83"/>
      <c r="F10" s="83"/>
      <c r="G10" s="83"/>
      <c r="H10" s="83"/>
      <c r="I10" s="83"/>
      <c r="J10" s="83"/>
      <c r="K10" s="83"/>
      <c r="L10" s="83"/>
      <c r="M10" s="70"/>
      <c r="N10" s="22"/>
      <c r="O10" s="22"/>
      <c r="P10" s="22"/>
      <c r="Q10" s="22"/>
      <c r="R10" s="301"/>
    </row>
    <row r="11" spans="1:18" x14ac:dyDescent="0.25">
      <c r="A11" s="70"/>
      <c r="B11" s="57" t="s">
        <v>184</v>
      </c>
      <c r="C11" s="192">
        <f>AECalc!L31</f>
        <v>163</v>
      </c>
      <c r="D11" s="601">
        <v>0.08</v>
      </c>
      <c r="E11" s="31">
        <f>C11-(C11*D11)</f>
        <v>149.96</v>
      </c>
      <c r="F11" s="603">
        <v>1.9</v>
      </c>
      <c r="G11" s="604">
        <v>0.04</v>
      </c>
      <c r="H11" s="603">
        <v>15</v>
      </c>
      <c r="I11" s="603">
        <v>19.5</v>
      </c>
      <c r="J11" s="221">
        <f>E11*F11</f>
        <v>284.92399999999998</v>
      </c>
      <c r="K11" s="222">
        <f t="shared" ref="K11:K25" si="0">J11*G11+H11+I11</f>
        <v>45.89696</v>
      </c>
      <c r="L11" s="221">
        <f>IF(J11-K11&lt;=0,0,J11-K11)</f>
        <v>239.02703999999997</v>
      </c>
      <c r="M11" s="46"/>
      <c r="N11" s="84">
        <f>Breedcow!F71-Breedcow!K71</f>
        <v>0</v>
      </c>
      <c r="O11" s="223">
        <f>J11*N11</f>
        <v>0</v>
      </c>
      <c r="P11" s="223">
        <f>K11*N11</f>
        <v>0</v>
      </c>
      <c r="Q11" s="305">
        <f>L11*N11</f>
        <v>0</v>
      </c>
      <c r="R11" s="312">
        <f>N11*E11</f>
        <v>0</v>
      </c>
    </row>
    <row r="12" spans="1:18" x14ac:dyDescent="0.25">
      <c r="A12" s="70"/>
      <c r="B12" s="57" t="s">
        <v>185</v>
      </c>
      <c r="C12" s="192">
        <f>AECalc!L32</f>
        <v>294</v>
      </c>
      <c r="D12" s="601">
        <v>0.08</v>
      </c>
      <c r="E12" s="32">
        <f t="shared" ref="E12:E25" si="1">C12-(C12*D12)</f>
        <v>270.48</v>
      </c>
      <c r="F12" s="603">
        <v>2</v>
      </c>
      <c r="G12" s="604">
        <v>0.04</v>
      </c>
      <c r="H12" s="603">
        <v>15</v>
      </c>
      <c r="I12" s="603">
        <v>21.67</v>
      </c>
      <c r="J12" s="221">
        <f t="shared" ref="J12:J25" si="2">E12*F12</f>
        <v>540.96</v>
      </c>
      <c r="K12" s="222">
        <f t="shared" si="0"/>
        <v>58.308400000000006</v>
      </c>
      <c r="L12" s="221">
        <f t="shared" ref="L12:L25" si="3">IF(J12-K12&lt;=0,0,J12-K12)</f>
        <v>482.65160000000003</v>
      </c>
      <c r="M12" s="46"/>
      <c r="N12" s="85">
        <f>Breedcow!F80</f>
        <v>0</v>
      </c>
      <c r="O12" s="224">
        <f t="shared" ref="O12:O25" si="4">J12*N12</f>
        <v>0</v>
      </c>
      <c r="P12" s="224">
        <f t="shared" ref="P12:P25" si="5">K12*N12</f>
        <v>0</v>
      </c>
      <c r="Q12" s="306">
        <f t="shared" ref="Q12:Q25" si="6">L12*N12</f>
        <v>0</v>
      </c>
      <c r="R12" s="313">
        <f t="shared" ref="R12:R25" si="7">N12*E12</f>
        <v>0</v>
      </c>
    </row>
    <row r="13" spans="1:18" x14ac:dyDescent="0.25">
      <c r="A13" s="70"/>
      <c r="B13" s="57" t="s">
        <v>186</v>
      </c>
      <c r="C13" s="192">
        <f>AECalc!L33</f>
        <v>396</v>
      </c>
      <c r="D13" s="601">
        <v>0.08</v>
      </c>
      <c r="E13" s="32">
        <f t="shared" si="1"/>
        <v>364.32</v>
      </c>
      <c r="F13" s="603">
        <v>2.1</v>
      </c>
      <c r="G13" s="604">
        <v>0.04</v>
      </c>
      <c r="H13" s="603">
        <v>15</v>
      </c>
      <c r="I13" s="603">
        <v>26.21</v>
      </c>
      <c r="J13" s="221">
        <f t="shared" si="2"/>
        <v>765.072</v>
      </c>
      <c r="K13" s="222">
        <f t="shared" si="0"/>
        <v>71.812880000000007</v>
      </c>
      <c r="L13" s="221">
        <f t="shared" si="3"/>
        <v>693.25911999999994</v>
      </c>
      <c r="M13" s="46"/>
      <c r="N13" s="85">
        <f>Breedcow!G80</f>
        <v>115.08937864932966</v>
      </c>
      <c r="O13" s="224">
        <f t="shared" si="4"/>
        <v>88051.66110199994</v>
      </c>
      <c r="P13" s="224">
        <f t="shared" si="5"/>
        <v>8264.8997382188736</v>
      </c>
      <c r="Q13" s="306">
        <f t="shared" si="6"/>
        <v>79786.761363781057</v>
      </c>
      <c r="R13" s="313">
        <f t="shared" si="7"/>
        <v>41929.362429523782</v>
      </c>
    </row>
    <row r="14" spans="1:18" x14ac:dyDescent="0.25">
      <c r="A14" s="70"/>
      <c r="B14" s="57" t="s">
        <v>187</v>
      </c>
      <c r="C14" s="192">
        <f>AECalc!L34</f>
        <v>450</v>
      </c>
      <c r="D14" s="601">
        <v>0.08</v>
      </c>
      <c r="E14" s="32">
        <f t="shared" si="1"/>
        <v>414</v>
      </c>
      <c r="F14" s="603">
        <v>1.7</v>
      </c>
      <c r="G14" s="604">
        <v>0</v>
      </c>
      <c r="H14" s="603">
        <v>5</v>
      </c>
      <c r="I14" s="603">
        <v>29.23</v>
      </c>
      <c r="J14" s="221">
        <f t="shared" si="2"/>
        <v>703.8</v>
      </c>
      <c r="K14" s="222">
        <f t="shared" si="0"/>
        <v>34.230000000000004</v>
      </c>
      <c r="L14" s="221">
        <f t="shared" si="3"/>
        <v>669.56999999999994</v>
      </c>
      <c r="M14" s="46"/>
      <c r="N14" s="85">
        <f>Breedcow!H80</f>
        <v>5.6811108705967754</v>
      </c>
      <c r="O14" s="224">
        <f t="shared" si="4"/>
        <v>3998.3658307260102</v>
      </c>
      <c r="P14" s="224">
        <f t="shared" si="5"/>
        <v>194.46442510052765</v>
      </c>
      <c r="Q14" s="306">
        <f t="shared" si="6"/>
        <v>3803.9014056254828</v>
      </c>
      <c r="R14" s="313">
        <f t="shared" si="7"/>
        <v>2351.9799004270649</v>
      </c>
    </row>
    <row r="15" spans="1:18" x14ac:dyDescent="0.25">
      <c r="A15" s="70"/>
      <c r="B15" s="57" t="s">
        <v>188</v>
      </c>
      <c r="C15" s="192">
        <f>C14</f>
        <v>450</v>
      </c>
      <c r="D15" s="601">
        <v>0.08</v>
      </c>
      <c r="E15" s="32">
        <f t="shared" si="1"/>
        <v>414</v>
      </c>
      <c r="F15" s="603">
        <v>1.7</v>
      </c>
      <c r="G15" s="604">
        <v>0</v>
      </c>
      <c r="H15" s="603">
        <v>5</v>
      </c>
      <c r="I15" s="603">
        <v>58.46</v>
      </c>
      <c r="J15" s="221">
        <f t="shared" si="2"/>
        <v>703.8</v>
      </c>
      <c r="K15" s="222">
        <f t="shared" si="0"/>
        <v>63.46</v>
      </c>
      <c r="L15" s="221">
        <f t="shared" si="3"/>
        <v>640.33999999999992</v>
      </c>
      <c r="M15" s="46"/>
      <c r="N15" s="85">
        <f>Breedcow!I80</f>
        <v>2.8551455609433294</v>
      </c>
      <c r="O15" s="224">
        <f t="shared" si="4"/>
        <v>2009.4514457919151</v>
      </c>
      <c r="P15" s="224">
        <f t="shared" si="5"/>
        <v>181.18753729746368</v>
      </c>
      <c r="Q15" s="306">
        <f t="shared" si="6"/>
        <v>1828.2639084944512</v>
      </c>
      <c r="R15" s="313">
        <f t="shared" si="7"/>
        <v>1182.0302622305383</v>
      </c>
    </row>
    <row r="16" spans="1:18" x14ac:dyDescent="0.25">
      <c r="A16" s="70"/>
      <c r="B16" s="57" t="s">
        <v>189</v>
      </c>
      <c r="C16" s="192">
        <f t="shared" ref="C16:C24" si="8">C15</f>
        <v>450</v>
      </c>
      <c r="D16" s="601">
        <v>0.08</v>
      </c>
      <c r="E16" s="32">
        <f t="shared" si="1"/>
        <v>414</v>
      </c>
      <c r="F16" s="603">
        <v>1.7</v>
      </c>
      <c r="G16" s="604">
        <v>0</v>
      </c>
      <c r="H16" s="603">
        <v>5</v>
      </c>
      <c r="I16" s="603">
        <v>58.46</v>
      </c>
      <c r="J16" s="221">
        <f t="shared" si="2"/>
        <v>703.8</v>
      </c>
      <c r="K16" s="222">
        <f t="shared" si="0"/>
        <v>63.46</v>
      </c>
      <c r="L16" s="221">
        <f t="shared" si="3"/>
        <v>640.33999999999992</v>
      </c>
      <c r="M16" s="46"/>
      <c r="N16" s="85">
        <f>Breedcow!J80</f>
        <v>2.7002539142621544</v>
      </c>
      <c r="O16" s="224">
        <f t="shared" si="4"/>
        <v>1900.4387048577041</v>
      </c>
      <c r="P16" s="224">
        <f t="shared" si="5"/>
        <v>171.35811339907633</v>
      </c>
      <c r="Q16" s="306">
        <f t="shared" si="6"/>
        <v>1729.0805914586279</v>
      </c>
      <c r="R16" s="313">
        <f t="shared" si="7"/>
        <v>1117.9051205045319</v>
      </c>
    </row>
    <row r="17" spans="1:21" x14ac:dyDescent="0.25">
      <c r="A17" s="70"/>
      <c r="B17" s="57" t="s">
        <v>190</v>
      </c>
      <c r="C17" s="192">
        <f t="shared" si="8"/>
        <v>450</v>
      </c>
      <c r="D17" s="601">
        <v>0.08</v>
      </c>
      <c r="E17" s="32">
        <f t="shared" si="1"/>
        <v>414</v>
      </c>
      <c r="F17" s="603">
        <v>1.7</v>
      </c>
      <c r="G17" s="604">
        <v>0</v>
      </c>
      <c r="H17" s="603">
        <v>5</v>
      </c>
      <c r="I17" s="603">
        <v>58.46</v>
      </c>
      <c r="J17" s="221">
        <f t="shared" si="2"/>
        <v>703.8</v>
      </c>
      <c r="K17" s="222">
        <f t="shared" si="0"/>
        <v>63.46</v>
      </c>
      <c r="L17" s="221">
        <f t="shared" si="3"/>
        <v>640.33999999999992</v>
      </c>
      <c r="M17" s="46"/>
      <c r="N17" s="85">
        <f>Breedcow!K80</f>
        <v>2.5537651394134322</v>
      </c>
      <c r="O17" s="224">
        <f t="shared" si="4"/>
        <v>1797.3399051191734</v>
      </c>
      <c r="P17" s="224">
        <f t="shared" si="5"/>
        <v>162.06193574717642</v>
      </c>
      <c r="Q17" s="306">
        <f t="shared" si="6"/>
        <v>1635.277969371997</v>
      </c>
      <c r="R17" s="313">
        <f t="shared" si="7"/>
        <v>1057.2587677171609</v>
      </c>
    </row>
    <row r="18" spans="1:21" x14ac:dyDescent="0.25">
      <c r="A18" s="70"/>
      <c r="B18" s="57" t="s">
        <v>191</v>
      </c>
      <c r="C18" s="192">
        <f t="shared" si="8"/>
        <v>450</v>
      </c>
      <c r="D18" s="601">
        <v>0.08</v>
      </c>
      <c r="E18" s="32">
        <f t="shared" si="1"/>
        <v>414</v>
      </c>
      <c r="F18" s="603">
        <v>1.7</v>
      </c>
      <c r="G18" s="604">
        <v>0</v>
      </c>
      <c r="H18" s="603">
        <v>5</v>
      </c>
      <c r="I18" s="603">
        <v>58.46</v>
      </c>
      <c r="J18" s="221">
        <f t="shared" si="2"/>
        <v>703.8</v>
      </c>
      <c r="K18" s="222">
        <f t="shared" si="0"/>
        <v>63.46</v>
      </c>
      <c r="L18" s="221">
        <f t="shared" si="3"/>
        <v>640.33999999999992</v>
      </c>
      <c r="M18" s="46"/>
      <c r="N18" s="85">
        <f>Breedcow!L80</f>
        <v>2.4152233806002537</v>
      </c>
      <c r="O18" s="224">
        <f t="shared" si="4"/>
        <v>1699.8342152664584</v>
      </c>
      <c r="P18" s="224">
        <f t="shared" si="5"/>
        <v>153.27007573289211</v>
      </c>
      <c r="Q18" s="306">
        <f t="shared" si="6"/>
        <v>1546.5641395335663</v>
      </c>
      <c r="R18" s="313">
        <f t="shared" si="7"/>
        <v>999.90247956850499</v>
      </c>
    </row>
    <row r="19" spans="1:21" x14ac:dyDescent="0.25">
      <c r="A19" s="70"/>
      <c r="B19" s="57" t="s">
        <v>192</v>
      </c>
      <c r="C19" s="192">
        <f t="shared" si="8"/>
        <v>450</v>
      </c>
      <c r="D19" s="601">
        <v>0.08</v>
      </c>
      <c r="E19" s="32">
        <f t="shared" si="1"/>
        <v>414</v>
      </c>
      <c r="F19" s="603">
        <v>1.7</v>
      </c>
      <c r="G19" s="604">
        <v>0</v>
      </c>
      <c r="H19" s="603">
        <v>5</v>
      </c>
      <c r="I19" s="603">
        <v>58.46</v>
      </c>
      <c r="J19" s="221">
        <f t="shared" si="2"/>
        <v>703.8</v>
      </c>
      <c r="K19" s="222">
        <f t="shared" si="0"/>
        <v>63.46</v>
      </c>
      <c r="L19" s="221">
        <f t="shared" si="3"/>
        <v>640.33999999999992</v>
      </c>
      <c r="M19" s="46"/>
      <c r="N19" s="85">
        <f>Breedcow!M80</f>
        <v>2.6648970975698045</v>
      </c>
      <c r="O19" s="224">
        <f t="shared" si="4"/>
        <v>1875.5545772696282</v>
      </c>
      <c r="P19" s="224">
        <f t="shared" si="5"/>
        <v>169.1143698117798</v>
      </c>
      <c r="Q19" s="306">
        <f t="shared" si="6"/>
        <v>1706.4402074578484</v>
      </c>
      <c r="R19" s="313">
        <f t="shared" si="7"/>
        <v>1103.2673983938992</v>
      </c>
    </row>
    <row r="20" spans="1:21" x14ac:dyDescent="0.25">
      <c r="A20" s="70"/>
      <c r="B20" s="57" t="s">
        <v>193</v>
      </c>
      <c r="C20" s="192">
        <f t="shared" si="8"/>
        <v>450</v>
      </c>
      <c r="D20" s="601">
        <v>0.08</v>
      </c>
      <c r="E20" s="32">
        <f t="shared" si="1"/>
        <v>414</v>
      </c>
      <c r="F20" s="603">
        <v>1.7</v>
      </c>
      <c r="G20" s="604">
        <v>0</v>
      </c>
      <c r="H20" s="603">
        <v>5</v>
      </c>
      <c r="I20" s="603">
        <v>58.46</v>
      </c>
      <c r="J20" s="221">
        <f t="shared" si="2"/>
        <v>703.8</v>
      </c>
      <c r="K20" s="222">
        <f t="shared" si="0"/>
        <v>63.46</v>
      </c>
      <c r="L20" s="221">
        <f t="shared" si="3"/>
        <v>640.33999999999992</v>
      </c>
      <c r="M20" s="46"/>
      <c r="N20" s="85">
        <f>Breedcow!N80</f>
        <v>2.50733505667599</v>
      </c>
      <c r="O20" s="224">
        <f t="shared" si="4"/>
        <v>1764.6624128885617</v>
      </c>
      <c r="P20" s="224">
        <f t="shared" si="5"/>
        <v>159.11548269665832</v>
      </c>
      <c r="Q20" s="306">
        <f t="shared" si="6"/>
        <v>1605.5469301919031</v>
      </c>
      <c r="R20" s="313">
        <f t="shared" si="7"/>
        <v>1038.0367134638598</v>
      </c>
    </row>
    <row r="21" spans="1:21" x14ac:dyDescent="0.25">
      <c r="A21" s="70"/>
      <c r="B21" s="57" t="s">
        <v>194</v>
      </c>
      <c r="C21" s="192">
        <f t="shared" si="8"/>
        <v>450</v>
      </c>
      <c r="D21" s="601">
        <v>0.08</v>
      </c>
      <c r="E21" s="32">
        <f t="shared" si="1"/>
        <v>414</v>
      </c>
      <c r="F21" s="603">
        <v>1.7</v>
      </c>
      <c r="G21" s="604">
        <v>0</v>
      </c>
      <c r="H21" s="603">
        <v>5</v>
      </c>
      <c r="I21" s="603">
        <v>58.46</v>
      </c>
      <c r="J21" s="221">
        <f t="shared" si="2"/>
        <v>703.8</v>
      </c>
      <c r="K21" s="222">
        <f t="shared" si="0"/>
        <v>63.46</v>
      </c>
      <c r="L21" s="221">
        <f t="shared" si="3"/>
        <v>640.33999999999992</v>
      </c>
      <c r="M21" s="46"/>
      <c r="N21" s="85">
        <f>Breedcow!O80</f>
        <v>2.6961015673714535</v>
      </c>
      <c r="O21" s="224">
        <f t="shared" si="4"/>
        <v>1897.5162831160287</v>
      </c>
      <c r="P21" s="224">
        <f t="shared" si="5"/>
        <v>171.09460546539245</v>
      </c>
      <c r="Q21" s="306">
        <f t="shared" si="6"/>
        <v>1726.4216776506362</v>
      </c>
      <c r="R21" s="313">
        <f t="shared" si="7"/>
        <v>1116.1860488917816</v>
      </c>
    </row>
    <row r="22" spans="1:21" x14ac:dyDescent="0.25">
      <c r="A22" s="70"/>
      <c r="B22" s="57" t="s">
        <v>195</v>
      </c>
      <c r="C22" s="192">
        <f t="shared" si="8"/>
        <v>450</v>
      </c>
      <c r="D22" s="601">
        <v>0.08</v>
      </c>
      <c r="E22" s="32">
        <f t="shared" si="1"/>
        <v>414</v>
      </c>
      <c r="F22" s="603">
        <v>1.7</v>
      </c>
      <c r="G22" s="604">
        <v>0</v>
      </c>
      <c r="H22" s="603">
        <v>5</v>
      </c>
      <c r="I22" s="603">
        <v>58.46</v>
      </c>
      <c r="J22" s="221">
        <f t="shared" si="2"/>
        <v>703.8</v>
      </c>
      <c r="K22" s="222">
        <f t="shared" si="0"/>
        <v>63.46</v>
      </c>
      <c r="L22" s="221">
        <f t="shared" si="3"/>
        <v>640.33999999999992</v>
      </c>
      <c r="M22" s="46"/>
      <c r="N22" s="85">
        <f>Breedcow!P80</f>
        <v>63.08877667649201</v>
      </c>
      <c r="O22" s="224">
        <f t="shared" si="4"/>
        <v>44401.881024915077</v>
      </c>
      <c r="P22" s="224">
        <f t="shared" si="5"/>
        <v>4003.6137678901832</v>
      </c>
      <c r="Q22" s="306">
        <f t="shared" si="6"/>
        <v>40398.267257024891</v>
      </c>
      <c r="R22" s="313">
        <f t="shared" si="7"/>
        <v>26118.753544067691</v>
      </c>
    </row>
    <row r="23" spans="1:21" x14ac:dyDescent="0.25">
      <c r="A23" s="70"/>
      <c r="B23" s="57" t="s">
        <v>196</v>
      </c>
      <c r="C23" s="192">
        <f t="shared" si="8"/>
        <v>450</v>
      </c>
      <c r="D23" s="601">
        <v>0.08</v>
      </c>
      <c r="E23" s="32">
        <f t="shared" si="1"/>
        <v>414</v>
      </c>
      <c r="F23" s="603">
        <v>1.7</v>
      </c>
      <c r="G23" s="604">
        <v>0</v>
      </c>
      <c r="H23" s="603">
        <v>5</v>
      </c>
      <c r="I23" s="603">
        <v>58.46</v>
      </c>
      <c r="J23" s="221">
        <f t="shared" si="2"/>
        <v>703.8</v>
      </c>
      <c r="K23" s="222">
        <f t="shared" si="0"/>
        <v>63.46</v>
      </c>
      <c r="L23" s="221">
        <f t="shared" si="3"/>
        <v>640.33999999999992</v>
      </c>
      <c r="M23" s="46"/>
      <c r="N23" s="85">
        <f>Breedcow!Q80</f>
        <v>0</v>
      </c>
      <c r="O23" s="224">
        <f t="shared" si="4"/>
        <v>0</v>
      </c>
      <c r="P23" s="224">
        <f t="shared" si="5"/>
        <v>0</v>
      </c>
      <c r="Q23" s="306">
        <f t="shared" si="6"/>
        <v>0</v>
      </c>
      <c r="R23" s="313">
        <f t="shared" si="7"/>
        <v>0</v>
      </c>
    </row>
    <row r="24" spans="1:21" x14ac:dyDescent="0.25">
      <c r="A24" s="70"/>
      <c r="B24" s="57" t="s">
        <v>197</v>
      </c>
      <c r="C24" s="192">
        <f t="shared" si="8"/>
        <v>450</v>
      </c>
      <c r="D24" s="601">
        <v>0.08</v>
      </c>
      <c r="E24" s="32">
        <f t="shared" si="1"/>
        <v>414</v>
      </c>
      <c r="F24" s="603">
        <v>1.7</v>
      </c>
      <c r="G24" s="604">
        <v>0</v>
      </c>
      <c r="H24" s="603">
        <v>5</v>
      </c>
      <c r="I24" s="603">
        <v>58.46</v>
      </c>
      <c r="J24" s="221">
        <f t="shared" si="2"/>
        <v>703.8</v>
      </c>
      <c r="K24" s="222">
        <f t="shared" si="0"/>
        <v>63.46</v>
      </c>
      <c r="L24" s="221">
        <f t="shared" si="3"/>
        <v>640.33999999999992</v>
      </c>
      <c r="M24" s="46"/>
      <c r="N24" s="85">
        <f>Breedcow!R80</f>
        <v>0</v>
      </c>
      <c r="O24" s="224">
        <f t="shared" si="4"/>
        <v>0</v>
      </c>
      <c r="P24" s="224">
        <f t="shared" si="5"/>
        <v>0</v>
      </c>
      <c r="Q24" s="306">
        <f t="shared" si="6"/>
        <v>0</v>
      </c>
      <c r="R24" s="313">
        <f t="shared" si="7"/>
        <v>0</v>
      </c>
    </row>
    <row r="25" spans="1:21" x14ac:dyDescent="0.25">
      <c r="A25" s="70"/>
      <c r="B25" s="57" t="s">
        <v>198</v>
      </c>
      <c r="C25" s="192">
        <f>C24</f>
        <v>450</v>
      </c>
      <c r="D25" s="601">
        <v>0.08</v>
      </c>
      <c r="E25" s="33">
        <f t="shared" si="1"/>
        <v>414</v>
      </c>
      <c r="F25" s="603">
        <v>1.7</v>
      </c>
      <c r="G25" s="604">
        <v>0</v>
      </c>
      <c r="H25" s="603">
        <v>5</v>
      </c>
      <c r="I25" s="603">
        <v>58.46</v>
      </c>
      <c r="J25" s="221">
        <f t="shared" si="2"/>
        <v>703.8</v>
      </c>
      <c r="K25" s="222">
        <f t="shared" si="0"/>
        <v>63.46</v>
      </c>
      <c r="L25" s="221">
        <f t="shared" si="3"/>
        <v>640.33999999999992</v>
      </c>
      <c r="M25" s="46"/>
      <c r="N25" s="86">
        <f>Breedcow!S80</f>
        <v>0</v>
      </c>
      <c r="O25" s="225">
        <f t="shared" si="4"/>
        <v>0</v>
      </c>
      <c r="P25" s="225">
        <f t="shared" si="5"/>
        <v>0</v>
      </c>
      <c r="Q25" s="307">
        <f t="shared" si="6"/>
        <v>0</v>
      </c>
      <c r="R25" s="314">
        <f t="shared" si="7"/>
        <v>0</v>
      </c>
      <c r="S25" s="308" t="s">
        <v>477</v>
      </c>
      <c r="T25" s="308" t="s">
        <v>478</v>
      </c>
      <c r="U25" s="308" t="s">
        <v>479</v>
      </c>
    </row>
    <row r="26" spans="1:21" x14ac:dyDescent="0.25">
      <c r="A26" s="22"/>
      <c r="B26" s="70"/>
      <c r="C26" s="83"/>
      <c r="D26" s="602"/>
      <c r="E26" s="87"/>
      <c r="F26" s="602"/>
      <c r="G26" s="602"/>
      <c r="H26" s="602"/>
      <c r="I26" s="602"/>
      <c r="J26" s="83"/>
      <c r="K26" s="83"/>
      <c r="L26" s="83"/>
      <c r="M26" s="70"/>
      <c r="N26" s="88">
        <f>SUM(N11:N25)</f>
        <v>202.25198791325485</v>
      </c>
      <c r="O26" s="226">
        <f>SUM(O11:O25)</f>
        <v>149396.70550195049</v>
      </c>
      <c r="P26" s="226">
        <f>SUM(P11:P25)</f>
        <v>13630.180051360023</v>
      </c>
      <c r="Q26" s="226">
        <f>SUM(Q11:Q25)</f>
        <v>135766.52545059047</v>
      </c>
      <c r="R26" s="273">
        <f>SUM(R11:R25)</f>
        <v>78014.682664788823</v>
      </c>
      <c r="S26" s="309">
        <f>IF(R26&lt;=0,0,O26/R26)</f>
        <v>1.9149819033921323</v>
      </c>
      <c r="T26" s="309">
        <f>IF(R26&lt;=0,0,P26/R26)</f>
        <v>0.1747130102409796</v>
      </c>
      <c r="U26" s="309">
        <f>IF(R26&lt;=0,0,Q26/R26)</f>
        <v>1.7402688931511527</v>
      </c>
    </row>
    <row r="27" spans="1:21" x14ac:dyDescent="0.25">
      <c r="A27" s="70"/>
      <c r="B27" s="57" t="s">
        <v>390</v>
      </c>
      <c r="C27" s="192">
        <f>AECalc!L32</f>
        <v>294</v>
      </c>
      <c r="D27" s="601">
        <v>0.08</v>
      </c>
      <c r="E27" s="31">
        <f>C27-(C27*D27)</f>
        <v>270.48</v>
      </c>
      <c r="F27" s="603">
        <v>2</v>
      </c>
      <c r="G27" s="604">
        <v>0.04</v>
      </c>
      <c r="H27" s="603">
        <v>15</v>
      </c>
      <c r="I27" s="603">
        <v>21.67</v>
      </c>
      <c r="J27" s="221">
        <f t="shared" ref="J27:J40" si="9">E27*F27</f>
        <v>540.96</v>
      </c>
      <c r="K27" s="222">
        <f t="shared" ref="K27:K40" si="10">J27*G27+H27+I27</f>
        <v>58.308400000000006</v>
      </c>
      <c r="L27" s="221">
        <f>IF(J27-K27&lt;=0,0,J27-K27)</f>
        <v>482.65160000000003</v>
      </c>
      <c r="M27" s="46"/>
      <c r="N27" s="84">
        <f>Breedcow!F85</f>
        <v>0</v>
      </c>
      <c r="O27" s="223">
        <f>J27*N27</f>
        <v>0</v>
      </c>
      <c r="P27" s="223">
        <f>K27*N27</f>
        <v>0</v>
      </c>
      <c r="Q27" s="223">
        <f>L27*N27</f>
        <v>0</v>
      </c>
      <c r="R27" s="312">
        <f>N27*E27</f>
        <v>0</v>
      </c>
      <c r="S27" s="302"/>
      <c r="T27" s="302"/>
      <c r="U27" s="302"/>
    </row>
    <row r="28" spans="1:21" x14ac:dyDescent="0.25">
      <c r="A28" s="70"/>
      <c r="B28" s="57" t="s">
        <v>389</v>
      </c>
      <c r="C28" s="192">
        <f>AECalc!L33</f>
        <v>396</v>
      </c>
      <c r="D28" s="601">
        <v>0.08</v>
      </c>
      <c r="E28" s="32">
        <f t="shared" ref="E28:E40" si="11">C28-(C28*D28)</f>
        <v>364.32</v>
      </c>
      <c r="F28" s="603">
        <v>2.1</v>
      </c>
      <c r="G28" s="604">
        <v>0.04</v>
      </c>
      <c r="H28" s="603">
        <v>15</v>
      </c>
      <c r="I28" s="603">
        <v>26.21</v>
      </c>
      <c r="J28" s="221">
        <f t="shared" si="9"/>
        <v>765.072</v>
      </c>
      <c r="K28" s="222">
        <f t="shared" si="10"/>
        <v>71.812880000000007</v>
      </c>
      <c r="L28" s="221">
        <f t="shared" ref="L28:L40" si="12">IF(J28-K28&lt;=0,0,J28-K28)</f>
        <v>693.25911999999994</v>
      </c>
      <c r="M28" s="46"/>
      <c r="N28" s="85">
        <f>Breedcow!G85</f>
        <v>0</v>
      </c>
      <c r="O28" s="224">
        <f t="shared" ref="O28:O40" si="13">J28*N28</f>
        <v>0</v>
      </c>
      <c r="P28" s="224">
        <f t="shared" ref="P28:P40" si="14">K28*N28</f>
        <v>0</v>
      </c>
      <c r="Q28" s="224">
        <f t="shared" ref="Q28:Q40" si="15">L28*N28</f>
        <v>0</v>
      </c>
      <c r="R28" s="313">
        <f t="shared" ref="R28:R40" si="16">N28*E28</f>
        <v>0</v>
      </c>
      <c r="S28" s="302"/>
      <c r="T28" s="302"/>
      <c r="U28" s="302"/>
    </row>
    <row r="29" spans="1:21" x14ac:dyDescent="0.25">
      <c r="A29" s="70"/>
      <c r="B29" s="57" t="s">
        <v>377</v>
      </c>
      <c r="C29" s="192">
        <f>AECalc!L34</f>
        <v>450</v>
      </c>
      <c r="D29" s="601">
        <v>0.08</v>
      </c>
      <c r="E29" s="32">
        <f t="shared" si="11"/>
        <v>414</v>
      </c>
      <c r="F29" s="603">
        <v>1.7</v>
      </c>
      <c r="G29" s="604">
        <v>0</v>
      </c>
      <c r="H29" s="603">
        <v>5</v>
      </c>
      <c r="I29" s="603">
        <v>29.23</v>
      </c>
      <c r="J29" s="221">
        <f t="shared" si="9"/>
        <v>703.8</v>
      </c>
      <c r="K29" s="222">
        <f t="shared" si="10"/>
        <v>34.230000000000004</v>
      </c>
      <c r="L29" s="221">
        <f t="shared" si="12"/>
        <v>669.56999999999994</v>
      </c>
      <c r="M29" s="46"/>
      <c r="N29" s="85">
        <f>Breedcow!H85</f>
        <v>0</v>
      </c>
      <c r="O29" s="224">
        <f t="shared" si="13"/>
        <v>0</v>
      </c>
      <c r="P29" s="224">
        <f t="shared" si="14"/>
        <v>0</v>
      </c>
      <c r="Q29" s="224">
        <f t="shared" si="15"/>
        <v>0</v>
      </c>
      <c r="R29" s="313">
        <f t="shared" si="16"/>
        <v>0</v>
      </c>
      <c r="S29" s="302"/>
      <c r="T29" s="302"/>
      <c r="U29" s="302"/>
    </row>
    <row r="30" spans="1:21" x14ac:dyDescent="0.25">
      <c r="A30" s="70"/>
      <c r="B30" s="57" t="s">
        <v>378</v>
      </c>
      <c r="C30" s="192">
        <f>C29</f>
        <v>450</v>
      </c>
      <c r="D30" s="601">
        <v>0.08</v>
      </c>
      <c r="E30" s="32">
        <f t="shared" si="11"/>
        <v>414</v>
      </c>
      <c r="F30" s="603">
        <v>1.7</v>
      </c>
      <c r="G30" s="604">
        <v>0</v>
      </c>
      <c r="H30" s="603">
        <v>5</v>
      </c>
      <c r="I30" s="603">
        <v>58.46</v>
      </c>
      <c r="J30" s="221">
        <f t="shared" si="9"/>
        <v>703.8</v>
      </c>
      <c r="K30" s="222">
        <f t="shared" si="10"/>
        <v>63.46</v>
      </c>
      <c r="L30" s="221">
        <f t="shared" si="12"/>
        <v>640.33999999999992</v>
      </c>
      <c r="M30" s="46"/>
      <c r="N30" s="85">
        <f>Breedcow!I85</f>
        <v>0</v>
      </c>
      <c r="O30" s="224">
        <f t="shared" si="13"/>
        <v>0</v>
      </c>
      <c r="P30" s="224">
        <f t="shared" si="14"/>
        <v>0</v>
      </c>
      <c r="Q30" s="224">
        <f t="shared" si="15"/>
        <v>0</v>
      </c>
      <c r="R30" s="313">
        <f t="shared" si="16"/>
        <v>0</v>
      </c>
      <c r="S30" s="302"/>
      <c r="T30" s="302"/>
      <c r="U30" s="302"/>
    </row>
    <row r="31" spans="1:21" x14ac:dyDescent="0.25">
      <c r="A31" s="70"/>
      <c r="B31" s="57" t="s">
        <v>379</v>
      </c>
      <c r="C31" s="192">
        <f t="shared" ref="C31:C39" si="17">C30</f>
        <v>450</v>
      </c>
      <c r="D31" s="601">
        <v>0.08</v>
      </c>
      <c r="E31" s="32">
        <f t="shared" si="11"/>
        <v>414</v>
      </c>
      <c r="F31" s="603">
        <v>1.7</v>
      </c>
      <c r="G31" s="604">
        <v>0</v>
      </c>
      <c r="H31" s="603">
        <v>5</v>
      </c>
      <c r="I31" s="603">
        <v>58.46</v>
      </c>
      <c r="J31" s="221">
        <f t="shared" si="9"/>
        <v>703.8</v>
      </c>
      <c r="K31" s="222">
        <f t="shared" si="10"/>
        <v>63.46</v>
      </c>
      <c r="L31" s="221">
        <f t="shared" si="12"/>
        <v>640.33999999999992</v>
      </c>
      <c r="M31" s="46"/>
      <c r="N31" s="85">
        <f>Breedcow!J85</f>
        <v>0</v>
      </c>
      <c r="O31" s="224">
        <f t="shared" si="13"/>
        <v>0</v>
      </c>
      <c r="P31" s="224">
        <f t="shared" si="14"/>
        <v>0</v>
      </c>
      <c r="Q31" s="224">
        <f t="shared" si="15"/>
        <v>0</v>
      </c>
      <c r="R31" s="313">
        <f t="shared" si="16"/>
        <v>0</v>
      </c>
      <c r="S31" s="302"/>
      <c r="T31" s="302"/>
      <c r="U31" s="302"/>
    </row>
    <row r="32" spans="1:21" x14ac:dyDescent="0.25">
      <c r="A32" s="70"/>
      <c r="B32" s="57" t="s">
        <v>380</v>
      </c>
      <c r="C32" s="192">
        <f t="shared" si="17"/>
        <v>450</v>
      </c>
      <c r="D32" s="601">
        <v>0.08</v>
      </c>
      <c r="E32" s="32">
        <f t="shared" si="11"/>
        <v>414</v>
      </c>
      <c r="F32" s="603">
        <v>1.7</v>
      </c>
      <c r="G32" s="604">
        <v>0</v>
      </c>
      <c r="H32" s="603">
        <v>5</v>
      </c>
      <c r="I32" s="603">
        <v>58.46</v>
      </c>
      <c r="J32" s="221">
        <f t="shared" si="9"/>
        <v>703.8</v>
      </c>
      <c r="K32" s="222">
        <f t="shared" si="10"/>
        <v>63.46</v>
      </c>
      <c r="L32" s="221">
        <f t="shared" si="12"/>
        <v>640.33999999999992</v>
      </c>
      <c r="M32" s="46"/>
      <c r="N32" s="85">
        <f>Breedcow!K85</f>
        <v>0</v>
      </c>
      <c r="O32" s="224">
        <f t="shared" si="13"/>
        <v>0</v>
      </c>
      <c r="P32" s="224">
        <f t="shared" si="14"/>
        <v>0</v>
      </c>
      <c r="Q32" s="224">
        <f t="shared" si="15"/>
        <v>0</v>
      </c>
      <c r="R32" s="313">
        <f t="shared" si="16"/>
        <v>0</v>
      </c>
      <c r="S32" s="302"/>
      <c r="T32" s="302"/>
      <c r="U32" s="302"/>
    </row>
    <row r="33" spans="1:21" x14ac:dyDescent="0.25">
      <c r="A33" s="70"/>
      <c r="B33" s="57" t="s">
        <v>381</v>
      </c>
      <c r="C33" s="192">
        <f t="shared" si="17"/>
        <v>450</v>
      </c>
      <c r="D33" s="601">
        <v>0.08</v>
      </c>
      <c r="E33" s="32">
        <f t="shared" si="11"/>
        <v>414</v>
      </c>
      <c r="F33" s="603">
        <v>1.7</v>
      </c>
      <c r="G33" s="604">
        <v>0</v>
      </c>
      <c r="H33" s="603">
        <v>5</v>
      </c>
      <c r="I33" s="603">
        <v>58.46</v>
      </c>
      <c r="J33" s="221">
        <f t="shared" si="9"/>
        <v>703.8</v>
      </c>
      <c r="K33" s="222">
        <f t="shared" si="10"/>
        <v>63.46</v>
      </c>
      <c r="L33" s="221">
        <f t="shared" si="12"/>
        <v>640.33999999999992</v>
      </c>
      <c r="M33" s="46"/>
      <c r="N33" s="85">
        <f>Breedcow!L85</f>
        <v>0</v>
      </c>
      <c r="O33" s="224">
        <f t="shared" si="13"/>
        <v>0</v>
      </c>
      <c r="P33" s="224">
        <f t="shared" si="14"/>
        <v>0</v>
      </c>
      <c r="Q33" s="224">
        <f t="shared" si="15"/>
        <v>0</v>
      </c>
      <c r="R33" s="313">
        <f t="shared" si="16"/>
        <v>0</v>
      </c>
      <c r="S33" s="302"/>
      <c r="T33" s="302"/>
      <c r="U33" s="302"/>
    </row>
    <row r="34" spans="1:21" x14ac:dyDescent="0.25">
      <c r="A34" s="70"/>
      <c r="B34" s="57" t="s">
        <v>382</v>
      </c>
      <c r="C34" s="192">
        <f t="shared" si="17"/>
        <v>450</v>
      </c>
      <c r="D34" s="601">
        <v>0.08</v>
      </c>
      <c r="E34" s="32">
        <f t="shared" si="11"/>
        <v>414</v>
      </c>
      <c r="F34" s="603">
        <v>1.7</v>
      </c>
      <c r="G34" s="604">
        <v>0</v>
      </c>
      <c r="H34" s="603">
        <v>5</v>
      </c>
      <c r="I34" s="603">
        <v>58.46</v>
      </c>
      <c r="J34" s="221">
        <f t="shared" si="9"/>
        <v>703.8</v>
      </c>
      <c r="K34" s="222">
        <f t="shared" si="10"/>
        <v>63.46</v>
      </c>
      <c r="L34" s="221">
        <f t="shared" si="12"/>
        <v>640.33999999999992</v>
      </c>
      <c r="M34" s="46"/>
      <c r="N34" s="85">
        <f>Breedcow!M85</f>
        <v>0</v>
      </c>
      <c r="O34" s="224">
        <f t="shared" si="13"/>
        <v>0</v>
      </c>
      <c r="P34" s="224">
        <f t="shared" si="14"/>
        <v>0</v>
      </c>
      <c r="Q34" s="224">
        <f t="shared" si="15"/>
        <v>0</v>
      </c>
      <c r="R34" s="313">
        <f t="shared" si="16"/>
        <v>0</v>
      </c>
      <c r="S34" s="302"/>
      <c r="T34" s="302"/>
      <c r="U34" s="302"/>
    </row>
    <row r="35" spans="1:21" x14ac:dyDescent="0.25">
      <c r="A35" s="70"/>
      <c r="B35" s="57" t="s">
        <v>383</v>
      </c>
      <c r="C35" s="192">
        <f t="shared" si="17"/>
        <v>450</v>
      </c>
      <c r="D35" s="601">
        <v>0.08</v>
      </c>
      <c r="E35" s="32">
        <f t="shared" si="11"/>
        <v>414</v>
      </c>
      <c r="F35" s="603">
        <v>1.7</v>
      </c>
      <c r="G35" s="604">
        <v>0</v>
      </c>
      <c r="H35" s="603">
        <v>5</v>
      </c>
      <c r="I35" s="603">
        <v>58.46</v>
      </c>
      <c r="J35" s="221">
        <f t="shared" si="9"/>
        <v>703.8</v>
      </c>
      <c r="K35" s="222">
        <f t="shared" si="10"/>
        <v>63.46</v>
      </c>
      <c r="L35" s="221">
        <f t="shared" si="12"/>
        <v>640.33999999999992</v>
      </c>
      <c r="M35" s="46"/>
      <c r="N35" s="85">
        <f>Breedcow!N85</f>
        <v>0</v>
      </c>
      <c r="O35" s="224">
        <f t="shared" si="13"/>
        <v>0</v>
      </c>
      <c r="P35" s="224">
        <f t="shared" si="14"/>
        <v>0</v>
      </c>
      <c r="Q35" s="224">
        <f t="shared" si="15"/>
        <v>0</v>
      </c>
      <c r="R35" s="313">
        <f t="shared" si="16"/>
        <v>0</v>
      </c>
      <c r="S35" s="302"/>
      <c r="T35" s="302"/>
      <c r="U35" s="302"/>
    </row>
    <row r="36" spans="1:21" x14ac:dyDescent="0.25">
      <c r="A36" s="70"/>
      <c r="B36" s="57" t="s">
        <v>384</v>
      </c>
      <c r="C36" s="192">
        <f t="shared" si="17"/>
        <v>450</v>
      </c>
      <c r="D36" s="601">
        <v>0.08</v>
      </c>
      <c r="E36" s="32">
        <f t="shared" si="11"/>
        <v>414</v>
      </c>
      <c r="F36" s="603">
        <v>1.7</v>
      </c>
      <c r="G36" s="604">
        <v>0</v>
      </c>
      <c r="H36" s="603">
        <v>5</v>
      </c>
      <c r="I36" s="603">
        <v>58.46</v>
      </c>
      <c r="J36" s="221">
        <f t="shared" si="9"/>
        <v>703.8</v>
      </c>
      <c r="K36" s="222">
        <f t="shared" si="10"/>
        <v>63.46</v>
      </c>
      <c r="L36" s="221">
        <f t="shared" si="12"/>
        <v>640.33999999999992</v>
      </c>
      <c r="M36" s="46"/>
      <c r="N36" s="85">
        <f>Breedcow!O85</f>
        <v>0</v>
      </c>
      <c r="O36" s="224">
        <f t="shared" si="13"/>
        <v>0</v>
      </c>
      <c r="P36" s="224">
        <f t="shared" si="14"/>
        <v>0</v>
      </c>
      <c r="Q36" s="224">
        <f t="shared" si="15"/>
        <v>0</v>
      </c>
      <c r="R36" s="313">
        <f t="shared" si="16"/>
        <v>0</v>
      </c>
      <c r="S36" s="302"/>
      <c r="T36" s="302"/>
      <c r="U36" s="302"/>
    </row>
    <row r="37" spans="1:21" x14ac:dyDescent="0.25">
      <c r="A37" s="70"/>
      <c r="B37" s="57" t="s">
        <v>385</v>
      </c>
      <c r="C37" s="192">
        <f t="shared" si="17"/>
        <v>450</v>
      </c>
      <c r="D37" s="601">
        <v>0.08</v>
      </c>
      <c r="E37" s="32">
        <f t="shared" si="11"/>
        <v>414</v>
      </c>
      <c r="F37" s="603">
        <v>1.7</v>
      </c>
      <c r="G37" s="604">
        <v>0</v>
      </c>
      <c r="H37" s="603">
        <v>5</v>
      </c>
      <c r="I37" s="603">
        <v>58.46</v>
      </c>
      <c r="J37" s="221">
        <f t="shared" si="9"/>
        <v>703.8</v>
      </c>
      <c r="K37" s="222">
        <f t="shared" si="10"/>
        <v>63.46</v>
      </c>
      <c r="L37" s="221">
        <f t="shared" si="12"/>
        <v>640.33999999999992</v>
      </c>
      <c r="M37" s="46"/>
      <c r="N37" s="85">
        <f>Breedcow!P85</f>
        <v>0</v>
      </c>
      <c r="O37" s="224">
        <f t="shared" si="13"/>
        <v>0</v>
      </c>
      <c r="P37" s="224">
        <f t="shared" si="14"/>
        <v>0</v>
      </c>
      <c r="Q37" s="224">
        <f t="shared" si="15"/>
        <v>0</v>
      </c>
      <c r="R37" s="313">
        <f t="shared" si="16"/>
        <v>0</v>
      </c>
      <c r="S37" s="302"/>
      <c r="T37" s="302"/>
      <c r="U37" s="302"/>
    </row>
    <row r="38" spans="1:21" x14ac:dyDescent="0.25">
      <c r="A38" s="70"/>
      <c r="B38" s="57" t="s">
        <v>386</v>
      </c>
      <c r="C38" s="192">
        <f t="shared" si="17"/>
        <v>450</v>
      </c>
      <c r="D38" s="601">
        <v>0.08</v>
      </c>
      <c r="E38" s="32">
        <f t="shared" si="11"/>
        <v>414</v>
      </c>
      <c r="F38" s="603">
        <v>1.7</v>
      </c>
      <c r="G38" s="604">
        <v>0</v>
      </c>
      <c r="H38" s="603">
        <v>5</v>
      </c>
      <c r="I38" s="603">
        <v>58.46</v>
      </c>
      <c r="J38" s="221">
        <f t="shared" si="9"/>
        <v>703.8</v>
      </c>
      <c r="K38" s="222">
        <f t="shared" si="10"/>
        <v>63.46</v>
      </c>
      <c r="L38" s="221">
        <f t="shared" si="12"/>
        <v>640.33999999999992</v>
      </c>
      <c r="M38" s="46"/>
      <c r="N38" s="85">
        <f>Breedcow!Q85</f>
        <v>0</v>
      </c>
      <c r="O38" s="224">
        <f t="shared" si="13"/>
        <v>0</v>
      </c>
      <c r="P38" s="224">
        <f t="shared" si="14"/>
        <v>0</v>
      </c>
      <c r="Q38" s="224">
        <f t="shared" si="15"/>
        <v>0</v>
      </c>
      <c r="R38" s="313">
        <f t="shared" si="16"/>
        <v>0</v>
      </c>
      <c r="S38" s="302"/>
      <c r="T38" s="302"/>
      <c r="U38" s="302"/>
    </row>
    <row r="39" spans="1:21" x14ac:dyDescent="0.25">
      <c r="A39" s="70"/>
      <c r="B39" s="57" t="s">
        <v>387</v>
      </c>
      <c r="C39" s="192">
        <f t="shared" si="17"/>
        <v>450</v>
      </c>
      <c r="D39" s="601">
        <v>0.08</v>
      </c>
      <c r="E39" s="32">
        <f t="shared" si="11"/>
        <v>414</v>
      </c>
      <c r="F39" s="603">
        <v>1.7</v>
      </c>
      <c r="G39" s="604">
        <v>0</v>
      </c>
      <c r="H39" s="603">
        <v>5</v>
      </c>
      <c r="I39" s="603">
        <v>58.46</v>
      </c>
      <c r="J39" s="221">
        <f t="shared" si="9"/>
        <v>703.8</v>
      </c>
      <c r="K39" s="222">
        <f t="shared" si="10"/>
        <v>63.46</v>
      </c>
      <c r="L39" s="221">
        <f t="shared" si="12"/>
        <v>640.33999999999992</v>
      </c>
      <c r="M39" s="46"/>
      <c r="N39" s="85">
        <f>Breedcow!R85</f>
        <v>0</v>
      </c>
      <c r="O39" s="224">
        <f t="shared" si="13"/>
        <v>0</v>
      </c>
      <c r="P39" s="224">
        <f t="shared" si="14"/>
        <v>0</v>
      </c>
      <c r="Q39" s="224">
        <f t="shared" si="15"/>
        <v>0</v>
      </c>
      <c r="R39" s="313">
        <f t="shared" si="16"/>
        <v>0</v>
      </c>
      <c r="S39" s="302"/>
      <c r="T39" s="302"/>
      <c r="U39" s="302"/>
    </row>
    <row r="40" spans="1:21" x14ac:dyDescent="0.25">
      <c r="A40" s="70"/>
      <c r="B40" s="57" t="s">
        <v>388</v>
      </c>
      <c r="C40" s="192">
        <f>C39</f>
        <v>450</v>
      </c>
      <c r="D40" s="601">
        <v>0.08</v>
      </c>
      <c r="E40" s="33">
        <f t="shared" si="11"/>
        <v>414</v>
      </c>
      <c r="F40" s="603">
        <v>1.7</v>
      </c>
      <c r="G40" s="604">
        <v>0</v>
      </c>
      <c r="H40" s="603">
        <v>5</v>
      </c>
      <c r="I40" s="603">
        <v>58.46</v>
      </c>
      <c r="J40" s="221">
        <f t="shared" si="9"/>
        <v>703.8</v>
      </c>
      <c r="K40" s="222">
        <f t="shared" si="10"/>
        <v>63.46</v>
      </c>
      <c r="L40" s="221">
        <f t="shared" si="12"/>
        <v>640.33999999999992</v>
      </c>
      <c r="M40" s="46"/>
      <c r="N40" s="86">
        <f>Breedcow!S85</f>
        <v>0</v>
      </c>
      <c r="O40" s="225">
        <f t="shared" si="13"/>
        <v>0</v>
      </c>
      <c r="P40" s="225">
        <f t="shared" si="14"/>
        <v>0</v>
      </c>
      <c r="Q40" s="225">
        <f t="shared" si="15"/>
        <v>0</v>
      </c>
      <c r="R40" s="314">
        <f t="shared" si="16"/>
        <v>0</v>
      </c>
      <c r="S40" s="308" t="s">
        <v>477</v>
      </c>
      <c r="T40" s="308" t="s">
        <v>478</v>
      </c>
      <c r="U40" s="308" t="s">
        <v>479</v>
      </c>
    </row>
    <row r="41" spans="1:21" x14ac:dyDescent="0.25">
      <c r="A41" s="70"/>
      <c r="B41" s="70"/>
      <c r="C41" s="83"/>
      <c r="D41" s="602"/>
      <c r="E41" s="90"/>
      <c r="F41" s="602"/>
      <c r="G41" s="602"/>
      <c r="H41" s="602"/>
      <c r="I41" s="602"/>
      <c r="J41" s="83"/>
      <c r="K41" s="83"/>
      <c r="L41" s="83"/>
      <c r="M41" s="70"/>
      <c r="N41" s="88">
        <f>SUM(N27:N40)</f>
        <v>0</v>
      </c>
      <c r="O41" s="226">
        <f>SUM(O27:O40)</f>
        <v>0</v>
      </c>
      <c r="P41" s="226">
        <f>SUM(P27:P40)</f>
        <v>0</v>
      </c>
      <c r="Q41" s="226">
        <f>SUM(Q27:Q40)</f>
        <v>0</v>
      </c>
      <c r="R41" s="273">
        <f>SUM(R27:R40)</f>
        <v>0</v>
      </c>
      <c r="S41" s="309">
        <f>IF(R41&lt;=0,0,O41/R41)</f>
        <v>0</v>
      </c>
      <c r="T41" s="309">
        <f>IF(R41&lt;=0,0,P41/R41)</f>
        <v>0</v>
      </c>
      <c r="U41" s="309">
        <f>IF(R41&lt;=0,0,Q41/R41)</f>
        <v>0</v>
      </c>
    </row>
    <row r="42" spans="1:21" x14ac:dyDescent="0.25">
      <c r="A42" s="70"/>
      <c r="B42" s="57" t="s">
        <v>199</v>
      </c>
      <c r="C42" s="193">
        <f>AECalc!L31</f>
        <v>163</v>
      </c>
      <c r="D42" s="601">
        <v>0.08</v>
      </c>
      <c r="E42" s="31">
        <f t="shared" ref="E42:E47" si="18">C42-(C42*D42)</f>
        <v>149.96</v>
      </c>
      <c r="F42" s="603">
        <v>2.4</v>
      </c>
      <c r="G42" s="604">
        <v>0.04</v>
      </c>
      <c r="H42" s="603">
        <v>15</v>
      </c>
      <c r="I42" s="603">
        <v>19.5</v>
      </c>
      <c r="J42" s="221">
        <f t="shared" ref="J42:J49" si="19">E42*F42</f>
        <v>359.904</v>
      </c>
      <c r="K42" s="222">
        <f t="shared" ref="K42:K47" si="20">J42*G42+H42+I42</f>
        <v>48.896160000000002</v>
      </c>
      <c r="L42" s="221">
        <f t="shared" ref="L42:L47" si="21">IF(J42-K42&lt;=0,0,J42-K42)</f>
        <v>311.00783999999999</v>
      </c>
      <c r="M42" s="46"/>
      <c r="N42" s="84">
        <f>Breedcow!F46</f>
        <v>0</v>
      </c>
      <c r="O42" s="223">
        <f t="shared" ref="O42:O49" si="22">J42*N42</f>
        <v>0</v>
      </c>
      <c r="P42" s="223">
        <f t="shared" ref="P42:P47" si="23">K42*N42</f>
        <v>0</v>
      </c>
      <c r="Q42" s="223">
        <f t="shared" ref="Q42:Q47" si="24">L42*N42</f>
        <v>0</v>
      </c>
      <c r="R42" s="315">
        <f>N42*E42</f>
        <v>0</v>
      </c>
      <c r="S42" s="302"/>
      <c r="T42" s="302"/>
      <c r="U42" s="302"/>
    </row>
    <row r="43" spans="1:21" x14ac:dyDescent="0.25">
      <c r="A43" s="70"/>
      <c r="B43" s="57" t="s">
        <v>200</v>
      </c>
      <c r="C43" s="193">
        <f>AECalc!L35</f>
        <v>300</v>
      </c>
      <c r="D43" s="601">
        <v>0.08</v>
      </c>
      <c r="E43" s="32">
        <f t="shared" si="18"/>
        <v>276</v>
      </c>
      <c r="F43" s="603">
        <v>2.2999999999999998</v>
      </c>
      <c r="G43" s="604">
        <v>0.04</v>
      </c>
      <c r="H43" s="603">
        <v>15</v>
      </c>
      <c r="I43" s="603">
        <v>22.94</v>
      </c>
      <c r="J43" s="221">
        <f t="shared" si="19"/>
        <v>634.79999999999995</v>
      </c>
      <c r="K43" s="222">
        <f t="shared" si="20"/>
        <v>63.331999999999994</v>
      </c>
      <c r="L43" s="221">
        <f t="shared" si="21"/>
        <v>571.46799999999996</v>
      </c>
      <c r="M43" s="46"/>
      <c r="N43" s="85">
        <f>Breedcow!G46</f>
        <v>0</v>
      </c>
      <c r="O43" s="224">
        <f t="shared" si="22"/>
        <v>0</v>
      </c>
      <c r="P43" s="224">
        <f t="shared" si="23"/>
        <v>0</v>
      </c>
      <c r="Q43" s="224">
        <f t="shared" si="24"/>
        <v>0</v>
      </c>
      <c r="R43" s="316">
        <f t="shared" ref="R43:R49" si="25">N43*E43</f>
        <v>0</v>
      </c>
      <c r="S43" s="302"/>
      <c r="T43" s="302"/>
      <c r="U43" s="302"/>
    </row>
    <row r="44" spans="1:21" x14ac:dyDescent="0.25">
      <c r="A44" s="70"/>
      <c r="B44" s="57" t="s">
        <v>201</v>
      </c>
      <c r="C44" s="193">
        <f>AECalc!L36</f>
        <v>418</v>
      </c>
      <c r="D44" s="601">
        <v>0.08</v>
      </c>
      <c r="E44" s="32">
        <f t="shared" si="18"/>
        <v>384.56</v>
      </c>
      <c r="F44" s="603">
        <v>2.4</v>
      </c>
      <c r="G44" s="604">
        <v>0.04</v>
      </c>
      <c r="H44" s="603">
        <v>15</v>
      </c>
      <c r="I44" s="603">
        <v>27.86</v>
      </c>
      <c r="J44" s="221">
        <f t="shared" si="19"/>
        <v>922.94399999999996</v>
      </c>
      <c r="K44" s="222">
        <f t="shared" si="20"/>
        <v>79.777760000000001</v>
      </c>
      <c r="L44" s="221">
        <f t="shared" si="21"/>
        <v>843.16624000000002</v>
      </c>
      <c r="M44" s="46"/>
      <c r="N44" s="85">
        <f>Breedcow!H46</f>
        <v>183.4555972877142</v>
      </c>
      <c r="O44" s="224">
        <f t="shared" si="22"/>
        <v>169319.24278311207</v>
      </c>
      <c r="P44" s="224">
        <f t="shared" si="23"/>
        <v>14635.676611075914</v>
      </c>
      <c r="Q44" s="224">
        <f t="shared" si="24"/>
        <v>154683.56617203617</v>
      </c>
      <c r="R44" s="316">
        <f t="shared" si="25"/>
        <v>70549.684492963366</v>
      </c>
      <c r="S44" s="302"/>
      <c r="T44" s="302"/>
      <c r="U44" s="302"/>
    </row>
    <row r="45" spans="1:21" x14ac:dyDescent="0.25">
      <c r="A45" s="70"/>
      <c r="B45" s="57" t="s">
        <v>202</v>
      </c>
      <c r="C45" s="193">
        <f>AECalc!L37</f>
        <v>414</v>
      </c>
      <c r="D45" s="601">
        <v>0.08</v>
      </c>
      <c r="E45" s="32">
        <f t="shared" si="18"/>
        <v>380.88</v>
      </c>
      <c r="F45" s="603">
        <v>2.4</v>
      </c>
      <c r="G45" s="604">
        <v>0.04</v>
      </c>
      <c r="H45" s="603">
        <v>15</v>
      </c>
      <c r="I45" s="603">
        <v>27.14</v>
      </c>
      <c r="J45" s="221">
        <f t="shared" si="19"/>
        <v>914.11199999999997</v>
      </c>
      <c r="K45" s="222">
        <f t="shared" si="20"/>
        <v>78.70447999999999</v>
      </c>
      <c r="L45" s="221">
        <f t="shared" si="21"/>
        <v>835.40751999999998</v>
      </c>
      <c r="M45" s="46"/>
      <c r="N45" s="85">
        <f>Breedcow!I46</f>
        <v>36.635861747516437</v>
      </c>
      <c r="O45" s="224">
        <f t="shared" si="22"/>
        <v>33489.280853745746</v>
      </c>
      <c r="P45" s="224">
        <f t="shared" si="23"/>
        <v>2883.4064481901719</v>
      </c>
      <c r="Q45" s="224">
        <f t="shared" si="24"/>
        <v>30605.874405555573</v>
      </c>
      <c r="R45" s="316">
        <f t="shared" si="25"/>
        <v>13953.867022394061</v>
      </c>
      <c r="S45" s="302"/>
      <c r="T45" s="302"/>
      <c r="U45" s="302"/>
    </row>
    <row r="46" spans="1:21" x14ac:dyDescent="0.25">
      <c r="A46" s="70"/>
      <c r="B46" s="57" t="s">
        <v>203</v>
      </c>
      <c r="C46" s="193">
        <f>AECalc!L38</f>
        <v>0</v>
      </c>
      <c r="D46" s="601">
        <v>0.05</v>
      </c>
      <c r="E46" s="32">
        <f t="shared" si="18"/>
        <v>0</v>
      </c>
      <c r="F46" s="603">
        <v>0</v>
      </c>
      <c r="G46" s="604">
        <v>0</v>
      </c>
      <c r="H46" s="603">
        <v>0</v>
      </c>
      <c r="I46" s="603">
        <v>38</v>
      </c>
      <c r="J46" s="221">
        <f t="shared" si="19"/>
        <v>0</v>
      </c>
      <c r="K46" s="222">
        <f t="shared" si="20"/>
        <v>38</v>
      </c>
      <c r="L46" s="221">
        <f t="shared" si="21"/>
        <v>0</v>
      </c>
      <c r="M46" s="46"/>
      <c r="N46" s="85">
        <f>Breedcow!J46</f>
        <v>0</v>
      </c>
      <c r="O46" s="224">
        <f t="shared" si="22"/>
        <v>0</v>
      </c>
      <c r="P46" s="224">
        <f t="shared" si="23"/>
        <v>0</v>
      </c>
      <c r="Q46" s="224">
        <f t="shared" si="24"/>
        <v>0</v>
      </c>
      <c r="R46" s="316">
        <f t="shared" si="25"/>
        <v>0</v>
      </c>
      <c r="S46" s="302"/>
      <c r="T46" s="302"/>
      <c r="U46" s="302"/>
    </row>
    <row r="47" spans="1:21" x14ac:dyDescent="0.25">
      <c r="A47" s="70"/>
      <c r="B47" s="57" t="s">
        <v>247</v>
      </c>
      <c r="C47" s="193">
        <f>AECalc!L39</f>
        <v>0</v>
      </c>
      <c r="D47" s="601">
        <v>0.05</v>
      </c>
      <c r="E47" s="33">
        <f t="shared" si="18"/>
        <v>0</v>
      </c>
      <c r="F47" s="603">
        <v>0</v>
      </c>
      <c r="G47" s="604">
        <v>0</v>
      </c>
      <c r="H47" s="603">
        <v>5</v>
      </c>
      <c r="I47" s="603">
        <v>38</v>
      </c>
      <c r="J47" s="221">
        <f t="shared" si="19"/>
        <v>0</v>
      </c>
      <c r="K47" s="222">
        <f t="shared" si="20"/>
        <v>43</v>
      </c>
      <c r="L47" s="221">
        <f t="shared" si="21"/>
        <v>0</v>
      </c>
      <c r="M47" s="46"/>
      <c r="N47" s="86">
        <f>Breedcow!K46</f>
        <v>0</v>
      </c>
      <c r="O47" s="225">
        <f t="shared" si="22"/>
        <v>0</v>
      </c>
      <c r="P47" s="225">
        <f t="shared" si="23"/>
        <v>0</v>
      </c>
      <c r="Q47" s="225">
        <f t="shared" si="24"/>
        <v>0</v>
      </c>
      <c r="R47" s="316">
        <f t="shared" si="25"/>
        <v>0</v>
      </c>
      <c r="S47" s="308" t="s">
        <v>477</v>
      </c>
      <c r="T47" s="308" t="s">
        <v>478</v>
      </c>
      <c r="U47" s="308" t="s">
        <v>479</v>
      </c>
    </row>
    <row r="48" spans="1:21" ht="13" thickBot="1" x14ac:dyDescent="0.3">
      <c r="A48" s="70"/>
      <c r="B48" s="70"/>
      <c r="C48" s="83"/>
      <c r="D48" s="602"/>
      <c r="E48" s="91"/>
      <c r="F48" s="602"/>
      <c r="G48" s="602"/>
      <c r="H48" s="602"/>
      <c r="I48" s="602"/>
      <c r="J48" s="83"/>
      <c r="K48" s="83"/>
      <c r="L48" s="83"/>
      <c r="M48" s="70"/>
      <c r="N48" s="92">
        <f>SUM(N42:N47)</f>
        <v>220.09145903523063</v>
      </c>
      <c r="O48" s="227">
        <f>SUM(O42:O47)</f>
        <v>202808.5236368578</v>
      </c>
      <c r="P48" s="227">
        <f>SUM(P42:P47)</f>
        <v>17519.083059266086</v>
      </c>
      <c r="Q48" s="227">
        <f>SUM(Q42:Q47)</f>
        <v>185289.44057759174</v>
      </c>
      <c r="R48" s="317">
        <f>SUM(R42:R47)</f>
        <v>84503.551515357423</v>
      </c>
      <c r="S48" s="310">
        <f>IF(R48&lt;=0,0,O48/R48)</f>
        <v>2.4</v>
      </c>
      <c r="T48" s="310">
        <f>IF(R48&lt;=0,0,P48/R48)</f>
        <v>0.20731771322158241</v>
      </c>
      <c r="U48" s="310">
        <f>IF(R48&lt;=0,0,Q48/R48)</f>
        <v>2.1926822867784179</v>
      </c>
    </row>
    <row r="49" spans="1:21" ht="13" thickTop="1" x14ac:dyDescent="0.25">
      <c r="A49" s="70"/>
      <c r="B49" s="57" t="s">
        <v>204</v>
      </c>
      <c r="C49" s="193">
        <f>AECalc!L40</f>
        <v>700</v>
      </c>
      <c r="D49" s="601">
        <v>0.08</v>
      </c>
      <c r="E49" s="31">
        <f>C49-(C49*D49)</f>
        <v>644</v>
      </c>
      <c r="F49" s="603">
        <v>2</v>
      </c>
      <c r="G49" s="604">
        <v>0</v>
      </c>
      <c r="H49" s="603">
        <v>5</v>
      </c>
      <c r="I49" s="603">
        <v>62.5</v>
      </c>
      <c r="J49" s="221">
        <f t="shared" si="19"/>
        <v>1288</v>
      </c>
      <c r="K49" s="222">
        <f>J49*G49+H49+I49</f>
        <v>67.5</v>
      </c>
      <c r="L49" s="221">
        <f>IF(J49-K49&lt;=0,0,J49-K49)</f>
        <v>1220.5</v>
      </c>
      <c r="M49" s="46"/>
      <c r="N49" s="93">
        <f>Breedcow!G57</f>
        <v>4.8306530718634804</v>
      </c>
      <c r="O49" s="228">
        <f t="shared" si="22"/>
        <v>6221.8811565601627</v>
      </c>
      <c r="P49" s="228">
        <f>K49*N49</f>
        <v>326.06908235078492</v>
      </c>
      <c r="Q49" s="228">
        <f>L49*N49</f>
        <v>5895.8120742093779</v>
      </c>
      <c r="R49" s="318">
        <f t="shared" si="25"/>
        <v>3110.9405782800814</v>
      </c>
      <c r="S49" s="311">
        <f>IF(R49&lt;=0,0,O49/R49)</f>
        <v>2</v>
      </c>
      <c r="T49" s="311">
        <f>IF(R49&lt;=0,0,P49/R49)</f>
        <v>0.1048136645962733</v>
      </c>
      <c r="U49" s="311">
        <f>IF(R49&lt;=0,0,Q49/R49)</f>
        <v>1.8951863354037268</v>
      </c>
    </row>
    <row r="50" spans="1:21" ht="13" thickBot="1" x14ac:dyDescent="0.3">
      <c r="A50" s="70"/>
      <c r="B50" s="70"/>
      <c r="C50" s="69"/>
      <c r="D50" s="69"/>
      <c r="E50" s="69"/>
      <c r="F50" s="69"/>
      <c r="G50" s="69"/>
      <c r="H50" s="69"/>
      <c r="I50" s="69"/>
      <c r="J50" s="69"/>
      <c r="K50" s="69"/>
      <c r="L50" s="69"/>
      <c r="M50" s="70"/>
      <c r="N50" s="92">
        <f>N49+N48+N41+N26</f>
        <v>427.17410002034899</v>
      </c>
      <c r="O50" s="227">
        <f>O49+O48+O41+O26</f>
        <v>358427.11029536847</v>
      </c>
      <c r="P50" s="227">
        <f>P49+P48+P41+P26</f>
        <v>31475.332192976894</v>
      </c>
      <c r="Q50" s="227">
        <f>Q49+Q48+Q41+Q26</f>
        <v>326951.77810239163</v>
      </c>
      <c r="R50" s="319">
        <f>R49+R48+R41+R26</f>
        <v>165629.17475842632</v>
      </c>
      <c r="S50" s="310">
        <f>IF(R50&lt;=0,0,O50/R50)</f>
        <v>2.1640336662797606</v>
      </c>
      <c r="T50" s="310">
        <f>IF(R50&lt;=0,0,P50/R50)</f>
        <v>0.19003495150467503</v>
      </c>
      <c r="U50" s="310">
        <f>IF(R50&lt;=0,0,Q50/R50)</f>
        <v>1.9739987147750857</v>
      </c>
    </row>
    <row r="51" spans="1:21" ht="13" thickTop="1" x14ac:dyDescent="0.25">
      <c r="A51" s="70"/>
      <c r="B51" s="70"/>
      <c r="C51" s="70"/>
      <c r="D51" s="70"/>
      <c r="E51" s="70"/>
      <c r="F51" s="70"/>
      <c r="G51" s="70"/>
      <c r="H51" s="70"/>
      <c r="I51" s="70"/>
      <c r="J51" s="70"/>
      <c r="K51" s="70"/>
      <c r="L51" s="70"/>
      <c r="M51" s="70"/>
      <c r="N51" s="81" t="s">
        <v>69</v>
      </c>
      <c r="O51" s="81" t="s">
        <v>438</v>
      </c>
      <c r="P51" s="81" t="s">
        <v>439</v>
      </c>
      <c r="Q51" s="81" t="s">
        <v>178</v>
      </c>
      <c r="R51" s="81" t="s">
        <v>475</v>
      </c>
    </row>
    <row r="52" spans="1:21" ht="13" x14ac:dyDescent="0.3">
      <c r="A52" s="70"/>
      <c r="B52" s="94" t="s">
        <v>205</v>
      </c>
      <c r="C52" s="70"/>
      <c r="D52" s="26" t="s">
        <v>370</v>
      </c>
      <c r="E52" s="70"/>
      <c r="F52" s="22"/>
      <c r="G52" s="22"/>
      <c r="H52" s="70"/>
      <c r="I52" s="70"/>
      <c r="J52" s="70"/>
      <c r="K52" s="70"/>
      <c r="L52" s="70"/>
      <c r="M52" s="70"/>
      <c r="N52" s="82" t="s">
        <v>74</v>
      </c>
      <c r="O52" s="82" t="s">
        <v>440</v>
      </c>
      <c r="P52" s="82" t="s">
        <v>441</v>
      </c>
      <c r="Q52" s="82" t="s">
        <v>440</v>
      </c>
      <c r="R52" s="82" t="s">
        <v>476</v>
      </c>
    </row>
    <row r="53" spans="1:21" x14ac:dyDescent="0.25">
      <c r="A53" s="70"/>
      <c r="B53" s="70"/>
      <c r="C53" s="53"/>
      <c r="D53" s="26" t="s">
        <v>371</v>
      </c>
      <c r="E53" s="42"/>
      <c r="F53" s="22"/>
      <c r="G53" s="70"/>
      <c r="H53" s="70"/>
      <c r="I53" s="70"/>
      <c r="J53" s="70"/>
      <c r="K53" s="70"/>
      <c r="L53" s="70"/>
      <c r="M53" s="70"/>
      <c r="N53" s="22"/>
      <c r="O53" s="22"/>
      <c r="P53" s="22"/>
      <c r="Q53" s="22"/>
      <c r="R53" s="22"/>
    </row>
    <row r="54" spans="1:21" ht="13" x14ac:dyDescent="0.3">
      <c r="A54" s="70"/>
      <c r="B54" s="57"/>
      <c r="C54" s="95" t="s">
        <v>206</v>
      </c>
      <c r="D54" s="96" t="s">
        <v>207</v>
      </c>
      <c r="E54" s="46"/>
      <c r="F54" s="70" t="s">
        <v>208</v>
      </c>
      <c r="G54" s="70"/>
      <c r="H54" s="70"/>
      <c r="I54" s="53"/>
      <c r="J54" s="22"/>
      <c r="K54" s="97" t="s">
        <v>300</v>
      </c>
      <c r="L54" s="22"/>
      <c r="M54" s="22"/>
      <c r="N54" s="22"/>
      <c r="O54" s="22"/>
      <c r="P54" s="22"/>
      <c r="Q54" s="22"/>
      <c r="R54" s="22"/>
    </row>
    <row r="55" spans="1:21" ht="13" x14ac:dyDescent="0.3">
      <c r="A55" s="70"/>
      <c r="B55" s="57"/>
      <c r="C55" s="98" t="s">
        <v>171</v>
      </c>
      <c r="D55" s="99" t="s">
        <v>209</v>
      </c>
      <c r="E55" s="46"/>
      <c r="F55" s="70" t="s">
        <v>210</v>
      </c>
      <c r="G55" s="70"/>
      <c r="H55" s="57"/>
      <c r="I55" s="229" t="s">
        <v>211</v>
      </c>
      <c r="J55" s="46"/>
      <c r="K55" s="185" t="str">
        <f>""</f>
        <v/>
      </c>
      <c r="L55" s="100"/>
      <c r="M55" s="100"/>
      <c r="N55" s="100"/>
      <c r="O55" s="100"/>
      <c r="P55" s="101"/>
      <c r="Q55" s="22"/>
      <c r="R55" s="22"/>
    </row>
    <row r="56" spans="1:21" ht="13" x14ac:dyDescent="0.3">
      <c r="A56" s="70"/>
      <c r="B56" s="70"/>
      <c r="C56" s="83"/>
      <c r="D56" s="83"/>
      <c r="E56" s="70"/>
      <c r="F56" s="70"/>
      <c r="G56" s="70"/>
      <c r="H56" s="70"/>
      <c r="I56" s="69"/>
      <c r="J56" s="70"/>
      <c r="K56" s="186"/>
      <c r="L56" s="102"/>
      <c r="M56" s="102"/>
      <c r="N56" s="102"/>
      <c r="O56" s="102"/>
      <c r="P56" s="103"/>
      <c r="Q56" s="22"/>
      <c r="R56" s="22"/>
    </row>
    <row r="57" spans="1:21" ht="13" x14ac:dyDescent="0.3">
      <c r="A57" s="70"/>
      <c r="B57" s="57"/>
      <c r="C57" s="104">
        <v>250</v>
      </c>
      <c r="D57" s="46">
        <v>38</v>
      </c>
      <c r="E57" s="46"/>
      <c r="F57" s="70"/>
      <c r="G57" s="70"/>
      <c r="H57" s="70"/>
      <c r="I57" s="53"/>
      <c r="J57" s="70"/>
      <c r="K57" s="186" t="str">
        <f>""</f>
        <v/>
      </c>
      <c r="L57" s="102"/>
      <c r="M57" s="102"/>
      <c r="N57" s="102"/>
      <c r="O57" s="102"/>
      <c r="P57" s="103"/>
      <c r="Q57" s="22"/>
      <c r="R57" s="22"/>
    </row>
    <row r="58" spans="1:21" ht="13" x14ac:dyDescent="0.3">
      <c r="A58" s="70"/>
      <c r="B58" s="57"/>
      <c r="C58" s="104">
        <v>300</v>
      </c>
      <c r="D58" s="46">
        <v>34</v>
      </c>
      <c r="E58" s="46"/>
      <c r="F58" s="70" t="s">
        <v>212</v>
      </c>
      <c r="G58" s="70"/>
      <c r="H58" s="57"/>
      <c r="I58" s="10">
        <v>2.5000000000000001E-2</v>
      </c>
      <c r="J58" s="46"/>
      <c r="K58" s="186" t="str">
        <f>""</f>
        <v/>
      </c>
      <c r="L58" s="102"/>
      <c r="M58" s="102"/>
      <c r="N58" s="102"/>
      <c r="O58" s="102"/>
      <c r="P58" s="103"/>
      <c r="Q58" s="22"/>
      <c r="R58" s="22"/>
    </row>
    <row r="59" spans="1:21" ht="13" x14ac:dyDescent="0.3">
      <c r="A59" s="70"/>
      <c r="B59" s="57"/>
      <c r="C59" s="104">
        <v>350</v>
      </c>
      <c r="D59" s="46">
        <v>30</v>
      </c>
      <c r="E59" s="46"/>
      <c r="F59" s="70" t="s">
        <v>213</v>
      </c>
      <c r="G59" s="70"/>
      <c r="H59" s="57"/>
      <c r="I59" s="10">
        <v>0.05</v>
      </c>
      <c r="J59" s="46"/>
      <c r="K59" s="186" t="str">
        <f>""</f>
        <v/>
      </c>
      <c r="L59" s="102"/>
      <c r="M59" s="102"/>
      <c r="N59" s="102"/>
      <c r="O59" s="102"/>
      <c r="P59" s="103"/>
      <c r="Q59" s="22"/>
      <c r="R59" s="22"/>
    </row>
    <row r="60" spans="1:21" ht="13" x14ac:dyDescent="0.3">
      <c r="A60" s="70"/>
      <c r="B60" s="57"/>
      <c r="C60" s="104">
        <v>400</v>
      </c>
      <c r="D60" s="46">
        <v>28</v>
      </c>
      <c r="E60" s="46"/>
      <c r="F60" s="70"/>
      <c r="G60" s="70"/>
      <c r="H60" s="70"/>
      <c r="I60" s="69"/>
      <c r="J60" s="70"/>
      <c r="K60" s="186" t="str">
        <f>""</f>
        <v/>
      </c>
      <c r="L60" s="102"/>
      <c r="M60" s="102"/>
      <c r="N60" s="102"/>
      <c r="O60" s="102"/>
      <c r="P60" s="103"/>
      <c r="Q60" s="22"/>
      <c r="R60" s="22"/>
    </row>
    <row r="61" spans="1:21" ht="13" x14ac:dyDescent="0.3">
      <c r="A61" s="70"/>
      <c r="B61" s="57"/>
      <c r="C61" s="104">
        <v>450</v>
      </c>
      <c r="D61" s="46">
        <v>26</v>
      </c>
      <c r="E61" s="46"/>
      <c r="F61" s="70" t="s">
        <v>214</v>
      </c>
      <c r="G61" s="70"/>
      <c r="H61" s="70"/>
      <c r="I61" s="53"/>
      <c r="J61" s="70"/>
      <c r="K61" s="186" t="str">
        <f>""</f>
        <v/>
      </c>
      <c r="L61" s="102"/>
      <c r="M61" s="102"/>
      <c r="N61" s="102"/>
      <c r="O61" s="102"/>
      <c r="P61" s="103"/>
      <c r="Q61" s="22"/>
      <c r="R61" s="22"/>
    </row>
    <row r="62" spans="1:21" ht="13" x14ac:dyDescent="0.3">
      <c r="A62" s="70"/>
      <c r="B62" s="57"/>
      <c r="C62" s="104">
        <v>500</v>
      </c>
      <c r="D62" s="46">
        <v>24</v>
      </c>
      <c r="E62" s="46"/>
      <c r="F62" s="70" t="s">
        <v>215</v>
      </c>
      <c r="G62" s="70"/>
      <c r="H62" s="57"/>
      <c r="I62" s="220">
        <v>1.95</v>
      </c>
      <c r="J62" s="46"/>
      <c r="K62" s="186" t="str">
        <f>""</f>
        <v/>
      </c>
      <c r="L62" s="102"/>
      <c r="M62" s="102"/>
      <c r="N62" s="102"/>
      <c r="O62" s="102"/>
      <c r="P62" s="103"/>
      <c r="Q62" s="22"/>
      <c r="R62" s="22"/>
    </row>
    <row r="63" spans="1:21" ht="13" x14ac:dyDescent="0.3">
      <c r="A63" s="70"/>
      <c r="B63" s="57"/>
      <c r="C63" s="104">
        <v>550</v>
      </c>
      <c r="D63" s="46">
        <v>22</v>
      </c>
      <c r="E63" s="46"/>
      <c r="F63" s="70" t="s">
        <v>216</v>
      </c>
      <c r="G63" s="70"/>
      <c r="H63" s="57"/>
      <c r="I63" s="194">
        <v>500</v>
      </c>
      <c r="J63" s="46"/>
      <c r="K63" s="186" t="str">
        <f>""</f>
        <v/>
      </c>
      <c r="L63" s="102"/>
      <c r="M63" s="102"/>
      <c r="N63" s="102"/>
      <c r="O63" s="102"/>
      <c r="P63" s="103"/>
      <c r="Q63" s="22"/>
      <c r="R63" s="22"/>
    </row>
    <row r="64" spans="1:21" ht="13" x14ac:dyDescent="0.3">
      <c r="A64" s="70"/>
      <c r="B64" s="57"/>
      <c r="C64" s="104">
        <v>600</v>
      </c>
      <c r="D64" s="46">
        <v>20</v>
      </c>
      <c r="E64" s="46"/>
      <c r="F64" s="70" t="s">
        <v>217</v>
      </c>
      <c r="G64" s="70"/>
      <c r="H64" s="57"/>
      <c r="I64" s="194">
        <v>16</v>
      </c>
      <c r="J64" s="46"/>
      <c r="K64" s="186" t="str">
        <f>""</f>
        <v/>
      </c>
      <c r="L64" s="102"/>
      <c r="M64" s="102"/>
      <c r="N64" s="102"/>
      <c r="O64" s="102"/>
      <c r="P64" s="103"/>
      <c r="Q64" s="22"/>
      <c r="R64" s="22"/>
    </row>
    <row r="65" spans="1:18" ht="13" x14ac:dyDescent="0.3">
      <c r="A65" s="70"/>
      <c r="B65" s="57"/>
      <c r="C65" s="104">
        <v>650</v>
      </c>
      <c r="D65" s="46">
        <v>18</v>
      </c>
      <c r="E65" s="46"/>
      <c r="F65" s="105" t="s">
        <v>218</v>
      </c>
      <c r="G65" s="70"/>
      <c r="H65" s="57"/>
      <c r="I65" s="230">
        <f>IF(I64=0,0,ROUND(I62*I63/I64,2))</f>
        <v>60.94</v>
      </c>
      <c r="J65" s="46"/>
      <c r="K65" s="186" t="str">
        <f>""</f>
        <v/>
      </c>
      <c r="L65" s="102"/>
      <c r="M65" s="102"/>
      <c r="N65" s="102"/>
      <c r="O65" s="102"/>
      <c r="P65" s="103"/>
      <c r="Q65" s="22"/>
      <c r="R65" s="22"/>
    </row>
    <row r="66" spans="1:18" ht="13" x14ac:dyDescent="0.3">
      <c r="A66" s="70"/>
      <c r="B66" s="70"/>
      <c r="C66" s="69"/>
      <c r="D66" s="69"/>
      <c r="E66" s="42"/>
      <c r="F66" s="42"/>
      <c r="G66" s="70"/>
      <c r="H66" s="70"/>
      <c r="I66" s="70"/>
      <c r="J66" s="70"/>
      <c r="K66" s="186" t="str">
        <f>""</f>
        <v/>
      </c>
      <c r="L66" s="102"/>
      <c r="M66" s="102"/>
      <c r="N66" s="102"/>
      <c r="O66" s="102"/>
      <c r="P66" s="103"/>
      <c r="Q66" s="22"/>
      <c r="R66" s="22"/>
    </row>
    <row r="67" spans="1:18" ht="13.5" thickBot="1" x14ac:dyDescent="0.35">
      <c r="A67" s="70"/>
      <c r="B67" s="70"/>
      <c r="C67" s="70" t="s">
        <v>219</v>
      </c>
      <c r="D67" s="70"/>
      <c r="E67" s="70"/>
      <c r="F67" s="70" t="s">
        <v>220</v>
      </c>
      <c r="G67" s="70"/>
      <c r="H67" s="22"/>
      <c r="I67" s="70"/>
      <c r="J67" s="70"/>
      <c r="K67" s="187" t="str">
        <f>""</f>
        <v/>
      </c>
      <c r="L67" s="106"/>
      <c r="M67" s="106"/>
      <c r="N67" s="106"/>
      <c r="O67" s="106"/>
      <c r="P67" s="107"/>
      <c r="Q67" s="22"/>
      <c r="R67" s="22"/>
    </row>
    <row r="68" spans="1:18" ht="13.5" thickTop="1" x14ac:dyDescent="0.3">
      <c r="A68" s="70"/>
      <c r="B68" s="70"/>
      <c r="C68" s="70" t="s">
        <v>221</v>
      </c>
      <c r="D68" s="70"/>
      <c r="E68" s="70"/>
      <c r="F68" s="70" t="s">
        <v>222</v>
      </c>
      <c r="G68" s="70"/>
      <c r="H68" s="22"/>
      <c r="I68" s="70"/>
      <c r="J68" s="70"/>
      <c r="K68" s="50" t="s">
        <v>313</v>
      </c>
      <c r="L68" s="70"/>
      <c r="M68" s="22"/>
      <c r="N68" s="22"/>
      <c r="O68" s="22"/>
      <c r="P68" s="22"/>
      <c r="Q68" s="22"/>
      <c r="R68" s="22"/>
    </row>
    <row r="69" spans="1:18" x14ac:dyDescent="0.25">
      <c r="A69" s="70"/>
      <c r="B69" s="70"/>
      <c r="C69" s="70"/>
      <c r="D69" s="70"/>
      <c r="E69" s="70"/>
      <c r="F69" s="70"/>
      <c r="G69" s="70"/>
      <c r="H69" s="70"/>
      <c r="I69" s="70"/>
      <c r="J69" s="70"/>
      <c r="K69" s="70"/>
      <c r="L69" s="70"/>
      <c r="M69" s="70"/>
      <c r="N69" s="22"/>
      <c r="O69" s="22"/>
      <c r="P69" s="22"/>
      <c r="Q69" s="22"/>
      <c r="R69" s="22"/>
    </row>
    <row r="70" spans="1:18" x14ac:dyDescent="0.25">
      <c r="A70" s="70"/>
      <c r="B70" s="70"/>
      <c r="C70" s="70" t="s">
        <v>223</v>
      </c>
      <c r="D70" s="70"/>
      <c r="E70" s="70"/>
      <c r="F70" s="70"/>
      <c r="G70" s="70"/>
      <c r="H70" s="70"/>
      <c r="I70" s="70"/>
      <c r="J70" s="70"/>
      <c r="K70" s="70"/>
      <c r="L70" s="70"/>
      <c r="M70" s="70"/>
      <c r="N70" s="22"/>
      <c r="O70" s="22"/>
      <c r="P70" s="22"/>
      <c r="Q70" s="22"/>
      <c r="R70" s="22"/>
    </row>
  </sheetData>
  <phoneticPr fontId="0" type="noConversion"/>
  <hyperlinks>
    <hyperlink ref="D52" r:id="rId1" display="http://www.publish.csiro.au/nid/22/pid/2483.htm"/>
    <hyperlink ref="D53" r:id="rId2" display="http://www.publish.csiro.au/nid/22/pid/2483.htm"/>
  </hyperlinks>
  <pageMargins left="1.036" right="1.036" top="1.036" bottom="1.036" header="0.5" footer="0.5"/>
  <pageSetup paperSize="9" orientation="portrait" r:id="rId3"/>
  <headerFooter alignWithMargins="0"/>
  <ignoredErrors>
    <ignoredError sqref="E1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dimension ref="A1:AG83"/>
  <sheetViews>
    <sheetView showGridLines="0" zoomScale="91" zoomScaleNormal="91" workbookViewId="0"/>
  </sheetViews>
  <sheetFormatPr defaultColWidth="9.6328125" defaultRowHeight="12.5" x14ac:dyDescent="0.25"/>
  <cols>
    <col min="1" max="1" width="1.6328125" customWidth="1"/>
    <col min="2" max="2" width="50.6328125" customWidth="1"/>
    <col min="3" max="3" width="7.6328125" customWidth="1"/>
    <col min="4" max="4" width="12.6328125" customWidth="1"/>
    <col min="8" max="8" width="14.6328125" customWidth="1"/>
    <col min="9" max="9" width="10.36328125" customWidth="1"/>
    <col min="10" max="10" width="8.6328125" customWidth="1"/>
    <col min="17" max="17" width="7.6328125" customWidth="1"/>
    <col min="25" max="25" width="11.6328125" customWidth="1"/>
    <col min="28" max="28" width="7.6328125" customWidth="1"/>
    <col min="31" max="31" width="7.54296875" customWidth="1"/>
    <col min="32" max="32" width="14.08984375" bestFit="1" customWidth="1"/>
    <col min="33" max="33" width="12.54296875" bestFit="1" customWidth="1"/>
  </cols>
  <sheetData>
    <row r="1" spans="1:33" ht="13" x14ac:dyDescent="0.3">
      <c r="A1" s="104"/>
      <c r="B1" s="108" t="s">
        <v>455</v>
      </c>
      <c r="C1" s="70"/>
      <c r="D1" s="70"/>
      <c r="E1" s="70"/>
      <c r="F1" s="22"/>
      <c r="G1" s="36" t="s">
        <v>224</v>
      </c>
      <c r="H1" s="320" t="str">
        <f>Prices!H1</f>
        <v>NQ Gulf Example herd</v>
      </c>
      <c r="I1" s="16"/>
      <c r="J1" s="16"/>
      <c r="K1" s="16"/>
      <c r="L1" s="16"/>
      <c r="M1" s="16"/>
      <c r="N1" s="16"/>
      <c r="O1" s="16"/>
      <c r="P1" s="16"/>
      <c r="Q1" s="73"/>
      <c r="R1" s="70"/>
      <c r="S1" s="70"/>
      <c r="T1" s="70"/>
      <c r="U1" s="70"/>
      <c r="V1" s="70"/>
      <c r="W1" s="70"/>
      <c r="X1" s="70"/>
      <c r="Y1" s="70"/>
      <c r="Z1" s="70"/>
      <c r="AA1" s="70"/>
      <c r="AB1" s="70"/>
      <c r="AC1" s="70"/>
      <c r="AD1" s="70"/>
      <c r="AE1" s="22"/>
      <c r="AF1" s="22"/>
    </row>
    <row r="2" spans="1:33" ht="13" x14ac:dyDescent="0.3">
      <c r="A2" s="104"/>
      <c r="B2" s="70"/>
      <c r="C2" s="70"/>
      <c r="D2" s="70"/>
      <c r="E2" s="70"/>
      <c r="F2" s="22"/>
      <c r="G2" s="36" t="s">
        <v>225</v>
      </c>
      <c r="H2" s="321">
        <f>Prices!H2</f>
        <v>43502</v>
      </c>
      <c r="I2" s="16"/>
      <c r="J2" s="16"/>
      <c r="K2" s="16"/>
      <c r="L2" s="16"/>
      <c r="M2" s="16"/>
      <c r="N2" s="16"/>
      <c r="O2" s="16"/>
      <c r="P2" s="16"/>
      <c r="Q2" s="73"/>
      <c r="R2" s="70"/>
      <c r="S2" s="70"/>
      <c r="T2" s="70"/>
      <c r="U2" s="70"/>
      <c r="V2" s="70"/>
      <c r="W2" s="70"/>
      <c r="X2" s="70"/>
      <c r="Y2" s="70"/>
      <c r="Z2" s="70"/>
      <c r="AA2" s="70"/>
      <c r="AB2" s="70"/>
      <c r="AC2" s="70"/>
      <c r="AD2" s="70"/>
      <c r="AE2" s="22"/>
      <c r="AF2" s="22"/>
    </row>
    <row r="3" spans="1:33" ht="13" x14ac:dyDescent="0.3">
      <c r="A3" s="104"/>
      <c r="B3" s="109" t="s">
        <v>367</v>
      </c>
      <c r="C3" s="70"/>
      <c r="D3" s="70"/>
      <c r="E3" s="70"/>
      <c r="F3" s="22"/>
      <c r="G3" s="36" t="s">
        <v>226</v>
      </c>
      <c r="H3" s="22"/>
      <c r="I3" s="104"/>
      <c r="J3" s="104"/>
      <c r="K3" s="70"/>
      <c r="L3" s="70"/>
      <c r="M3" s="70"/>
      <c r="N3" s="70"/>
      <c r="O3" s="70"/>
      <c r="P3" s="70"/>
      <c r="Q3" s="70"/>
      <c r="R3" s="70"/>
      <c r="S3" s="70"/>
      <c r="T3" s="70"/>
      <c r="U3" s="70"/>
      <c r="V3" s="70"/>
      <c r="W3" s="70"/>
      <c r="X3" s="70"/>
      <c r="Y3" s="70"/>
      <c r="Z3" s="70"/>
      <c r="AA3" s="70"/>
      <c r="AB3" s="70"/>
      <c r="AC3" s="70"/>
      <c r="AD3" s="70"/>
      <c r="AE3" s="22"/>
      <c r="AF3" s="22"/>
    </row>
    <row r="4" spans="1:33" ht="13" x14ac:dyDescent="0.3">
      <c r="A4" s="104"/>
      <c r="B4" s="109" t="s">
        <v>368</v>
      </c>
      <c r="C4" s="70"/>
      <c r="D4" s="70"/>
      <c r="E4" s="70"/>
      <c r="F4" s="70"/>
      <c r="G4" s="70"/>
      <c r="H4" s="104"/>
      <c r="I4" s="70"/>
      <c r="J4" s="70"/>
      <c r="K4" s="70"/>
      <c r="L4" s="70"/>
      <c r="M4" s="70"/>
      <c r="N4" s="70"/>
      <c r="O4" s="70"/>
      <c r="P4" s="70"/>
      <c r="Q4" s="70"/>
      <c r="R4" s="70"/>
      <c r="S4" s="70"/>
      <c r="T4" s="70"/>
      <c r="U4" s="70"/>
      <c r="V4" s="70"/>
      <c r="W4" s="70"/>
      <c r="X4" s="70"/>
      <c r="Y4" s="70"/>
      <c r="Z4" s="70"/>
      <c r="AA4" s="70"/>
      <c r="AB4" s="70"/>
      <c r="AC4" s="70"/>
      <c r="AD4" s="70"/>
      <c r="AE4" s="22"/>
      <c r="AF4" s="22"/>
    </row>
    <row r="5" spans="1:33" ht="13" x14ac:dyDescent="0.3">
      <c r="A5" s="104"/>
      <c r="B5" s="109" t="s">
        <v>325</v>
      </c>
      <c r="C5" s="70"/>
      <c r="D5" s="70"/>
      <c r="E5" s="70"/>
      <c r="F5" s="70"/>
      <c r="G5" s="70"/>
      <c r="H5" s="104"/>
      <c r="I5" s="70"/>
      <c r="J5" s="70"/>
      <c r="K5" s="70"/>
      <c r="L5" s="70"/>
      <c r="M5" s="70"/>
      <c r="N5" s="70"/>
      <c r="O5" s="70"/>
      <c r="P5" s="70"/>
      <c r="Q5" s="70"/>
      <c r="R5" s="70"/>
      <c r="S5" s="70"/>
      <c r="T5" s="70"/>
      <c r="U5" s="70"/>
      <c r="V5" s="70"/>
      <c r="W5" s="70"/>
      <c r="X5" s="70"/>
      <c r="Y5" s="70"/>
      <c r="Z5" s="70"/>
      <c r="AA5" s="70"/>
      <c r="AB5" s="70"/>
      <c r="AC5" s="70"/>
      <c r="AD5" s="70"/>
      <c r="AE5" s="22"/>
      <c r="AF5" s="22"/>
    </row>
    <row r="6" spans="1:33" ht="13" x14ac:dyDescent="0.3">
      <c r="A6" s="104"/>
      <c r="B6" s="109" t="s">
        <v>326</v>
      </c>
      <c r="C6" s="70"/>
      <c r="D6" s="70"/>
      <c r="E6" s="70"/>
      <c r="F6" s="70"/>
      <c r="G6" s="70"/>
      <c r="H6" s="104"/>
      <c r="I6" s="70"/>
      <c r="J6" s="70"/>
      <c r="K6" s="70"/>
      <c r="L6" s="70"/>
      <c r="M6" s="70"/>
      <c r="N6" s="70"/>
      <c r="O6" s="70"/>
      <c r="P6" s="70"/>
      <c r="Q6" s="70"/>
      <c r="R6" s="70"/>
      <c r="S6" s="70"/>
      <c r="T6" s="70"/>
      <c r="U6" s="70"/>
      <c r="V6" s="70"/>
      <c r="W6" s="70"/>
      <c r="X6" s="70"/>
      <c r="Y6" s="70"/>
      <c r="Z6" s="70"/>
      <c r="AA6" s="70"/>
      <c r="AB6" s="70"/>
      <c r="AC6" s="70"/>
      <c r="AD6" s="70"/>
      <c r="AE6" s="22"/>
      <c r="AF6" s="22"/>
    </row>
    <row r="7" spans="1:33" x14ac:dyDescent="0.25">
      <c r="A7" s="104"/>
      <c r="B7" s="70"/>
      <c r="C7" s="70"/>
      <c r="D7" s="70"/>
      <c r="E7" s="70"/>
      <c r="F7" s="70"/>
      <c r="G7" s="70"/>
      <c r="H7" s="104"/>
      <c r="I7" s="70"/>
      <c r="J7" s="70"/>
      <c r="K7" s="70"/>
      <c r="L7" s="70"/>
      <c r="M7" s="70"/>
      <c r="N7" s="70"/>
      <c r="O7" s="70"/>
      <c r="P7" s="70"/>
      <c r="Q7" s="70"/>
      <c r="R7" s="70"/>
      <c r="S7" s="70"/>
      <c r="T7" s="70"/>
      <c r="U7" s="70"/>
      <c r="V7" s="70"/>
      <c r="W7" s="70"/>
      <c r="X7" s="70"/>
      <c r="Y7" s="70"/>
      <c r="Z7" s="70"/>
      <c r="AA7" s="70"/>
      <c r="AB7" s="70"/>
      <c r="AC7" s="70"/>
      <c r="AD7" s="70"/>
      <c r="AE7" s="22"/>
      <c r="AF7" s="22"/>
    </row>
    <row r="8" spans="1:33" ht="13" x14ac:dyDescent="0.3">
      <c r="A8" s="104"/>
      <c r="B8" s="110" t="s">
        <v>227</v>
      </c>
      <c r="C8" s="70"/>
      <c r="D8" s="70"/>
      <c r="E8" s="70"/>
      <c r="F8" s="70"/>
      <c r="G8" s="70"/>
      <c r="H8" s="104"/>
      <c r="I8" s="70"/>
      <c r="J8" s="70"/>
      <c r="K8" s="70"/>
      <c r="L8" s="70"/>
      <c r="M8" s="70"/>
      <c r="N8" s="70"/>
      <c r="O8" s="70"/>
      <c r="P8" s="70"/>
      <c r="Q8" s="70"/>
      <c r="R8" s="70"/>
      <c r="S8" s="70"/>
      <c r="T8" s="70"/>
      <c r="U8" s="70"/>
      <c r="V8" s="70"/>
      <c r="W8" s="70"/>
      <c r="X8" s="70"/>
      <c r="Y8" s="70"/>
      <c r="Z8" s="70"/>
      <c r="AA8" s="70"/>
      <c r="AB8" s="70"/>
      <c r="AC8" s="70"/>
      <c r="AD8" s="70"/>
      <c r="AE8" s="22"/>
      <c r="AF8" s="22"/>
    </row>
    <row r="9" spans="1:33" x14ac:dyDescent="0.25">
      <c r="A9" s="104"/>
      <c r="B9" s="53"/>
      <c r="C9" s="70"/>
      <c r="D9" s="53"/>
      <c r="E9" s="53"/>
      <c r="F9" s="53"/>
      <c r="G9" s="53"/>
      <c r="H9" s="104"/>
      <c r="I9" s="53"/>
      <c r="J9" s="53"/>
      <c r="K9" s="53"/>
      <c r="L9" s="53"/>
      <c r="M9" s="53"/>
      <c r="N9" s="53"/>
      <c r="O9" s="53"/>
      <c r="P9" s="53"/>
      <c r="Q9" s="70"/>
      <c r="R9" s="53"/>
      <c r="S9" s="53"/>
      <c r="T9" s="53"/>
      <c r="U9" s="53"/>
      <c r="V9" s="53"/>
      <c r="W9" s="53"/>
      <c r="X9" s="53"/>
      <c r="Y9" s="53"/>
      <c r="Z9" s="53"/>
      <c r="AA9" s="53"/>
      <c r="AB9" s="70"/>
      <c r="AC9" s="53"/>
      <c r="AD9" s="53"/>
      <c r="AE9" s="104"/>
      <c r="AF9" s="22"/>
    </row>
    <row r="10" spans="1:33" x14ac:dyDescent="0.25">
      <c r="A10" s="57"/>
      <c r="B10" s="104" t="s">
        <v>90</v>
      </c>
      <c r="C10" s="65"/>
      <c r="D10" s="104" t="s">
        <v>228</v>
      </c>
      <c r="E10" s="70"/>
      <c r="F10" s="104"/>
      <c r="G10" s="70"/>
      <c r="H10" s="65"/>
      <c r="I10" s="104" t="s">
        <v>229</v>
      </c>
      <c r="J10" s="70"/>
      <c r="K10" s="104"/>
      <c r="L10" s="70"/>
      <c r="M10" s="70"/>
      <c r="N10" s="70"/>
      <c r="O10" s="70"/>
      <c r="P10" s="70"/>
      <c r="Q10" s="65"/>
      <c r="R10" s="104" t="s">
        <v>230</v>
      </c>
      <c r="S10" s="70"/>
      <c r="T10" s="104"/>
      <c r="U10" s="70"/>
      <c r="V10" s="70"/>
      <c r="W10" s="70"/>
      <c r="X10" s="70"/>
      <c r="Y10" s="70"/>
      <c r="Z10" s="70"/>
      <c r="AA10" s="70"/>
      <c r="AB10" s="65"/>
      <c r="AC10" s="104" t="s">
        <v>231</v>
      </c>
      <c r="AD10" s="70"/>
      <c r="AE10" s="46"/>
      <c r="AF10" s="111" t="s">
        <v>407</v>
      </c>
    </row>
    <row r="11" spans="1:33" ht="12.75" customHeight="1" x14ac:dyDescent="0.3">
      <c r="A11" s="57"/>
      <c r="B11" s="104"/>
      <c r="C11" s="65"/>
      <c r="D11" s="112" t="s">
        <v>232</v>
      </c>
      <c r="E11" s="113" t="s">
        <v>232</v>
      </c>
      <c r="F11" s="112" t="s">
        <v>233</v>
      </c>
      <c r="G11" s="113" t="s">
        <v>233</v>
      </c>
      <c r="H11" s="65"/>
      <c r="I11" s="112" t="s">
        <v>234</v>
      </c>
      <c r="J11" s="113" t="s">
        <v>234</v>
      </c>
      <c r="K11" s="112" t="s">
        <v>235</v>
      </c>
      <c r="L11" s="113" t="s">
        <v>235</v>
      </c>
      <c r="M11" s="112" t="s">
        <v>236</v>
      </c>
      <c r="N11" s="113" t="s">
        <v>236</v>
      </c>
      <c r="O11" s="114" t="s">
        <v>358</v>
      </c>
      <c r="P11" s="115" t="s">
        <v>358</v>
      </c>
      <c r="Q11" s="65"/>
      <c r="R11" s="112" t="s">
        <v>234</v>
      </c>
      <c r="S11" s="113" t="s">
        <v>234</v>
      </c>
      <c r="T11" s="112" t="s">
        <v>235</v>
      </c>
      <c r="U11" s="113" t="s">
        <v>235</v>
      </c>
      <c r="V11" s="112" t="s">
        <v>237</v>
      </c>
      <c r="W11" s="113" t="s">
        <v>237</v>
      </c>
      <c r="X11" s="112" t="s">
        <v>238</v>
      </c>
      <c r="Y11" s="113" t="s">
        <v>238</v>
      </c>
      <c r="Z11" s="116" t="s">
        <v>320</v>
      </c>
      <c r="AA11" s="113" t="s">
        <v>320</v>
      </c>
      <c r="AB11" s="65"/>
      <c r="AC11" s="112" t="s">
        <v>239</v>
      </c>
      <c r="AD11" s="113" t="s">
        <v>239</v>
      </c>
      <c r="AE11" s="46"/>
      <c r="AF11" s="117" t="s">
        <v>408</v>
      </c>
    </row>
    <row r="12" spans="1:33" ht="13" x14ac:dyDescent="0.3">
      <c r="A12" s="57"/>
      <c r="B12" s="104" t="s">
        <v>94</v>
      </c>
      <c r="C12" s="65"/>
      <c r="D12" s="112" t="s">
        <v>75</v>
      </c>
      <c r="E12" s="113" t="s">
        <v>74</v>
      </c>
      <c r="F12" s="112" t="s">
        <v>75</v>
      </c>
      <c r="G12" s="113" t="s">
        <v>74</v>
      </c>
      <c r="H12" s="65"/>
      <c r="I12" s="112" t="s">
        <v>75</v>
      </c>
      <c r="J12" s="113" t="s">
        <v>74</v>
      </c>
      <c r="K12" s="112" t="s">
        <v>75</v>
      </c>
      <c r="L12" s="113" t="s">
        <v>74</v>
      </c>
      <c r="M12" s="112" t="s">
        <v>75</v>
      </c>
      <c r="N12" s="113" t="s">
        <v>74</v>
      </c>
      <c r="O12" s="112" t="s">
        <v>75</v>
      </c>
      <c r="P12" s="113" t="s">
        <v>74</v>
      </c>
      <c r="Q12" s="65"/>
      <c r="R12" s="112" t="s">
        <v>75</v>
      </c>
      <c r="S12" s="113" t="s">
        <v>74</v>
      </c>
      <c r="T12" s="112" t="s">
        <v>75</v>
      </c>
      <c r="U12" s="113" t="s">
        <v>74</v>
      </c>
      <c r="V12" s="112" t="s">
        <v>75</v>
      </c>
      <c r="W12" s="113" t="s">
        <v>74</v>
      </c>
      <c r="X12" s="112" t="s">
        <v>75</v>
      </c>
      <c r="Y12" s="113" t="s">
        <v>74</v>
      </c>
      <c r="Z12" s="112" t="s">
        <v>75</v>
      </c>
      <c r="AA12" s="113" t="s">
        <v>74</v>
      </c>
      <c r="AB12" s="65"/>
      <c r="AC12" s="112" t="s">
        <v>75</v>
      </c>
      <c r="AD12" s="113" t="s">
        <v>74</v>
      </c>
      <c r="AE12" s="46"/>
      <c r="AF12" s="118"/>
    </row>
    <row r="13" spans="1:33" x14ac:dyDescent="0.25">
      <c r="A13" s="119"/>
      <c r="B13" s="83"/>
      <c r="C13" s="104"/>
      <c r="D13" s="83"/>
      <c r="E13" s="120" t="str">
        <f>AECalc!N31</f>
        <v>Jun</v>
      </c>
      <c r="F13" s="83"/>
      <c r="G13" s="120" t="str">
        <f>AECalc!N31</f>
        <v>Jun</v>
      </c>
      <c r="H13" s="104"/>
      <c r="I13" s="83"/>
      <c r="J13" s="120" t="str">
        <f>AECalc!N32</f>
        <v>Jun</v>
      </c>
      <c r="K13" s="83"/>
      <c r="L13" s="120" t="str">
        <f>AECalc!N33</f>
        <v>May</v>
      </c>
      <c r="M13" s="83"/>
      <c r="N13" s="120" t="str">
        <f>AECalc!N34</f>
        <v>Jun</v>
      </c>
      <c r="O13" s="83"/>
      <c r="P13" s="83"/>
      <c r="Q13" s="104"/>
      <c r="R13" s="120"/>
      <c r="S13" s="83" t="str">
        <f>AECalc!N35</f>
        <v>May</v>
      </c>
      <c r="T13" s="120"/>
      <c r="U13" s="83" t="str">
        <f>AECalc!N36</f>
        <v>May</v>
      </c>
      <c r="V13" s="83"/>
      <c r="W13" s="120" t="str">
        <f>AECalc!N37</f>
        <v>May</v>
      </c>
      <c r="X13" s="83"/>
      <c r="Y13" s="120" t="str">
        <f>AECalc!N38</f>
        <v>Jun</v>
      </c>
      <c r="Z13" s="83"/>
      <c r="AA13" s="120" t="str">
        <f>AECalc!N39</f>
        <v>Dec</v>
      </c>
      <c r="AB13" s="104"/>
      <c r="AC13" s="83"/>
      <c r="AD13" s="120" t="str">
        <f>AECalc!N40</f>
        <v>Jun</v>
      </c>
      <c r="AE13" s="22"/>
      <c r="AF13" s="22"/>
    </row>
    <row r="14" spans="1:33" ht="13" x14ac:dyDescent="0.3">
      <c r="A14" s="57"/>
      <c r="B14" s="605" t="s">
        <v>686</v>
      </c>
      <c r="C14" s="606"/>
      <c r="D14" s="603">
        <v>2</v>
      </c>
      <c r="E14" s="607">
        <v>2</v>
      </c>
      <c r="F14" s="608">
        <f t="shared" ref="F14:F26" si="0">D14</f>
        <v>2</v>
      </c>
      <c r="G14" s="607">
        <v>2</v>
      </c>
      <c r="H14" s="606"/>
      <c r="I14" s="603">
        <v>1</v>
      </c>
      <c r="J14" s="607"/>
      <c r="K14" s="603">
        <v>1</v>
      </c>
      <c r="L14" s="607"/>
      <c r="M14" s="603">
        <v>1</v>
      </c>
      <c r="N14" s="607"/>
      <c r="O14" s="603">
        <v>1</v>
      </c>
      <c r="P14" s="607"/>
      <c r="Q14" s="606"/>
      <c r="R14" s="603">
        <v>1</v>
      </c>
      <c r="S14" s="607"/>
      <c r="T14" s="603">
        <v>1</v>
      </c>
      <c r="U14" s="607"/>
      <c r="V14" s="603"/>
      <c r="W14" s="607"/>
      <c r="X14" s="603"/>
      <c r="Y14" s="607">
        <v>0</v>
      </c>
      <c r="Z14" s="609" t="s">
        <v>5</v>
      </c>
      <c r="AA14" s="607">
        <v>0</v>
      </c>
      <c r="AB14" s="610"/>
      <c r="AC14" s="603">
        <v>1</v>
      </c>
      <c r="AD14" s="607"/>
      <c r="AE14" s="46"/>
      <c r="AF14" s="234">
        <f>(D14*Breedcow!$E$108/2)+(F14*Breedcow!$E$108/2)+(E14*Breedcow!$F$108/2)+(G14*Breedcow!$F$108/2)+(I14*Breedcow!$E$109)+(J14*Breedcow!$F$109)+(K14*Breedcow!$E$110)+(L14*Breedcow!$F$110)+(M14*Breedcow!$E$111)+(N14*Breedcow!$F$111)+(O14*Breedcow!$E$112)+(P14*Breedcow!$F$112)+(R14*Breedcow!$E$113)+(S14*Breedcow!$F$113)+(T14*Breedcow!$E$114)+(U14*Breedcow!$F$114)+(V14*Breedcow!$E$115)+(W14*Breedcow!$F$115)+(X14*Breedcow!$E$116)+(Y14*Breedcow!$F$116)+(AA14*Breedcow!$F$117)+(AC14*Breedcow!$E$118)+(AD14*Breedcow!$F$118)</f>
        <v>2204.3745770335468</v>
      </c>
    </row>
    <row r="15" spans="1:33" ht="13" x14ac:dyDescent="0.3">
      <c r="A15" s="57"/>
      <c r="B15" s="605" t="s">
        <v>687</v>
      </c>
      <c r="C15" s="606"/>
      <c r="D15" s="603">
        <v>2</v>
      </c>
      <c r="E15" s="607">
        <v>2</v>
      </c>
      <c r="F15" s="608">
        <f t="shared" si="0"/>
        <v>2</v>
      </c>
      <c r="G15" s="607">
        <v>2</v>
      </c>
      <c r="H15" s="606"/>
      <c r="I15" s="603"/>
      <c r="J15" s="607"/>
      <c r="K15" s="603"/>
      <c r="L15" s="607"/>
      <c r="M15" s="603"/>
      <c r="N15" s="607"/>
      <c r="O15" s="603"/>
      <c r="P15" s="607"/>
      <c r="Q15" s="606"/>
      <c r="R15" s="603"/>
      <c r="S15" s="607"/>
      <c r="T15" s="603"/>
      <c r="U15" s="607"/>
      <c r="V15" s="603"/>
      <c r="W15" s="607"/>
      <c r="X15" s="603"/>
      <c r="Y15" s="607">
        <v>0</v>
      </c>
      <c r="Z15" s="609" t="s">
        <v>5</v>
      </c>
      <c r="AA15" s="607">
        <v>0</v>
      </c>
      <c r="AB15" s="610"/>
      <c r="AC15" s="603"/>
      <c r="AD15" s="607"/>
      <c r="AE15" s="46"/>
      <c r="AF15" s="235">
        <f>(D15*Breedcow!$E$108/2)+(F15*Breedcow!$E$108/2)+(E15*Breedcow!$F$108/2)+(G15*Breedcow!$F$108/2)+(I15*Breedcow!$E$109)+(J15*Breedcow!$F$109)+(K15*Breedcow!$E$110)+(L15*Breedcow!$F$110)+(M15*Breedcow!$E$111)+(N15*Breedcow!$F$111)+(O15*Breedcow!$E$112)+(P15*Breedcow!$F$112)+(R15*Breedcow!$E$113)+(S15*Breedcow!$F$113)+(T15*Breedcow!$E$114)+(U15*Breedcow!$F$114)+(V15*Breedcow!$E$115)+(W15*Breedcow!$F$115)+(X15*Breedcow!$E$116)+(Y15*Breedcow!$F$116)+(AA15*Breedcow!$F$117)+(AC15*Breedcow!$E$118)+(AD15*Breedcow!$F$118)</f>
        <v>930.04429761758752</v>
      </c>
      <c r="AG15" s="394"/>
    </row>
    <row r="16" spans="1:33" ht="13" x14ac:dyDescent="0.3">
      <c r="A16" s="57"/>
      <c r="B16" s="605"/>
      <c r="C16" s="606"/>
      <c r="D16" s="603"/>
      <c r="E16" s="607"/>
      <c r="F16" s="608">
        <f t="shared" si="0"/>
        <v>0</v>
      </c>
      <c r="G16" s="607"/>
      <c r="H16" s="606"/>
      <c r="I16" s="603"/>
      <c r="J16" s="607"/>
      <c r="K16" s="603"/>
      <c r="L16" s="607"/>
      <c r="M16" s="603"/>
      <c r="N16" s="607"/>
      <c r="O16" s="603"/>
      <c r="P16" s="607"/>
      <c r="Q16" s="606"/>
      <c r="R16" s="603"/>
      <c r="S16" s="607"/>
      <c r="T16" s="603"/>
      <c r="U16" s="607"/>
      <c r="V16" s="603"/>
      <c r="W16" s="607"/>
      <c r="X16" s="603"/>
      <c r="Y16" s="607">
        <v>0</v>
      </c>
      <c r="Z16" s="609" t="s">
        <v>5</v>
      </c>
      <c r="AA16" s="607">
        <v>0</v>
      </c>
      <c r="AB16" s="610"/>
      <c r="AC16" s="603"/>
      <c r="AD16" s="607"/>
      <c r="AE16" s="46"/>
      <c r="AF16" s="235">
        <f>(D16*Breedcow!$E$108/2)+(F16*Breedcow!$E$108/2)+(E16*Breedcow!$F$108/2)+(G16*Breedcow!$F$108/2)+(I16*Breedcow!$E$109)+(J16*Breedcow!$F$109)+(K16*Breedcow!$E$110)+(L16*Breedcow!$F$110)+(M16*Breedcow!$E$111)+(N16*Breedcow!$F$111)+(O16*Breedcow!$E$112)+(P16*Breedcow!$F$112)+(R16*Breedcow!$E$113)+(S16*Breedcow!$F$113)+(T16*Breedcow!$E$114)+(U16*Breedcow!$F$114)+(V16*Breedcow!$E$115)+(W16*Breedcow!$F$115)+(X16*Breedcow!$E$116)+(Y16*Breedcow!$F$116)+(AA16*Breedcow!$F$117)+(AC16*Breedcow!$E$118)+(AD16*Breedcow!$F$118)</f>
        <v>0</v>
      </c>
    </row>
    <row r="17" spans="1:32" ht="13" x14ac:dyDescent="0.3">
      <c r="A17" s="57"/>
      <c r="B17" s="605" t="s">
        <v>688</v>
      </c>
      <c r="C17" s="606"/>
      <c r="D17" s="603">
        <v>6</v>
      </c>
      <c r="E17" s="607">
        <v>6</v>
      </c>
      <c r="F17" s="608">
        <f t="shared" si="0"/>
        <v>6</v>
      </c>
      <c r="G17" s="607">
        <v>6</v>
      </c>
      <c r="H17" s="606"/>
      <c r="I17" s="603"/>
      <c r="J17" s="607"/>
      <c r="K17" s="603"/>
      <c r="L17" s="607"/>
      <c r="M17" s="603"/>
      <c r="N17" s="607"/>
      <c r="O17" s="603"/>
      <c r="P17" s="607"/>
      <c r="Q17" s="606"/>
      <c r="R17" s="603"/>
      <c r="S17" s="607"/>
      <c r="T17" s="603"/>
      <c r="U17" s="607"/>
      <c r="V17" s="603"/>
      <c r="W17" s="607"/>
      <c r="X17" s="603"/>
      <c r="Y17" s="607">
        <v>0</v>
      </c>
      <c r="Z17" s="609" t="s">
        <v>5</v>
      </c>
      <c r="AA17" s="607">
        <v>0</v>
      </c>
      <c r="AB17" s="610"/>
      <c r="AC17" s="603"/>
      <c r="AD17" s="607"/>
      <c r="AE17" s="46"/>
      <c r="AF17" s="235">
        <f>(D17*Breedcow!$E$108/2)+(F17*Breedcow!$E$108/2)+(E17*Breedcow!$F$108/2)+(G17*Breedcow!$F$108/2)+(I17*Breedcow!$E$109)+(J17*Breedcow!$F$109)+(K17*Breedcow!$E$110)+(L17*Breedcow!$F$110)+(M17*Breedcow!$E$111)+(N17*Breedcow!$F$111)+(O17*Breedcow!$E$112)+(P17*Breedcow!$F$112)+(R17*Breedcow!$E$113)+(S17*Breedcow!$F$113)+(T17*Breedcow!$E$114)+(U17*Breedcow!$F$114)+(V17*Breedcow!$E$115)+(W17*Breedcow!$F$115)+(X17*Breedcow!$E$116)+(Y17*Breedcow!$F$116)+(AA17*Breedcow!$F$117)+(AC17*Breedcow!$E$118)+(AD17*Breedcow!$F$118)</f>
        <v>2790.1328928527628</v>
      </c>
    </row>
    <row r="18" spans="1:32" ht="13" x14ac:dyDescent="0.3">
      <c r="A18" s="57"/>
      <c r="B18" s="605" t="s">
        <v>689</v>
      </c>
      <c r="C18" s="606"/>
      <c r="D18" s="603">
        <v>3.33</v>
      </c>
      <c r="E18" s="607"/>
      <c r="F18" s="608">
        <f t="shared" si="0"/>
        <v>3.33</v>
      </c>
      <c r="G18" s="607"/>
      <c r="H18" s="606"/>
      <c r="I18" s="603">
        <v>8.33</v>
      </c>
      <c r="J18" s="607">
        <v>8.33</v>
      </c>
      <c r="K18" s="603">
        <v>11.83</v>
      </c>
      <c r="L18" s="607">
        <v>11.83</v>
      </c>
      <c r="M18" s="603">
        <v>11.83</v>
      </c>
      <c r="N18" s="607">
        <v>11.83</v>
      </c>
      <c r="O18" s="603">
        <v>5</v>
      </c>
      <c r="P18" s="607">
        <v>5</v>
      </c>
      <c r="Q18" s="606"/>
      <c r="R18" s="603">
        <v>8.33</v>
      </c>
      <c r="S18" s="607">
        <v>8.33</v>
      </c>
      <c r="T18" s="603">
        <v>8.33</v>
      </c>
      <c r="U18" s="607">
        <v>8.33</v>
      </c>
      <c r="V18" s="603">
        <v>8.33</v>
      </c>
      <c r="W18" s="607">
        <v>8.33</v>
      </c>
      <c r="X18" s="603"/>
      <c r="Y18" s="607">
        <v>0</v>
      </c>
      <c r="Z18" s="609" t="s">
        <v>5</v>
      </c>
      <c r="AA18" s="607">
        <v>0</v>
      </c>
      <c r="AB18" s="610"/>
      <c r="AC18" s="603">
        <v>12</v>
      </c>
      <c r="AD18" s="607">
        <v>12</v>
      </c>
      <c r="AE18" s="46"/>
      <c r="AF18" s="235">
        <f>(D18*Breedcow!$E$108/2)+(F18*Breedcow!$E$108/2)+(E18*Breedcow!$F$108/2)+(G18*Breedcow!$F$108/2)+(I18*Breedcow!$E$109)+(J18*Breedcow!$F$109)+(K18*Breedcow!$E$110)+(L18*Breedcow!$F$110)+(M18*Breedcow!$E$111)+(N18*Breedcow!$F$111)+(O18*Breedcow!$E$112)+(P18*Breedcow!$F$112)+(R18*Breedcow!$E$113)+(S18*Breedcow!$F$113)+(T18*Breedcow!$E$114)+(U18*Breedcow!$F$114)+(V18*Breedcow!$E$115)+(W18*Breedcow!$F$115)+(X18*Breedcow!$E$116)+(Y18*Breedcow!$F$116)+(AA18*Breedcow!$F$117)+(AC18*Breedcow!$E$118)+(AD18*Breedcow!$F$118)</f>
        <v>19194.894976138941</v>
      </c>
    </row>
    <row r="19" spans="1:32" ht="13" x14ac:dyDescent="0.3">
      <c r="A19" s="57"/>
      <c r="B19" s="605" t="s">
        <v>690</v>
      </c>
      <c r="C19" s="606"/>
      <c r="D19" s="603">
        <v>23</v>
      </c>
      <c r="E19" s="607"/>
      <c r="F19" s="608">
        <f t="shared" si="0"/>
        <v>23</v>
      </c>
      <c r="G19" s="607"/>
      <c r="H19" s="606"/>
      <c r="I19" s="603">
        <v>14.96</v>
      </c>
      <c r="J19" s="607">
        <v>0</v>
      </c>
      <c r="K19" s="603">
        <v>22.44</v>
      </c>
      <c r="L19" s="607">
        <v>0</v>
      </c>
      <c r="M19" s="603">
        <v>22.44</v>
      </c>
      <c r="N19" s="607">
        <v>0</v>
      </c>
      <c r="O19" s="603"/>
      <c r="P19" s="607"/>
      <c r="Q19" s="606"/>
      <c r="R19" s="603">
        <v>14.96</v>
      </c>
      <c r="S19" s="607"/>
      <c r="T19" s="603">
        <v>14.96</v>
      </c>
      <c r="U19" s="607"/>
      <c r="V19" s="603"/>
      <c r="W19" s="607"/>
      <c r="X19" s="603"/>
      <c r="Y19" s="607">
        <v>0</v>
      </c>
      <c r="Z19" s="609" t="s">
        <v>5</v>
      </c>
      <c r="AA19" s="607">
        <v>0</v>
      </c>
      <c r="AB19" s="610"/>
      <c r="AC19" s="603">
        <v>18</v>
      </c>
      <c r="AD19" s="607">
        <v>18</v>
      </c>
      <c r="AE19" s="46"/>
      <c r="AF19" s="235">
        <f>(D19*Breedcow!$E$108/2)+(F19*Breedcow!$E$108/2)+(E19*Breedcow!$F$108/2)+(G19*Breedcow!$F$108/2)+(I19*Breedcow!$E$109)+(J19*Breedcow!$F$109)+(K19*Breedcow!$E$110)+(L19*Breedcow!$F$110)+(M19*Breedcow!$E$111)+(N19*Breedcow!$F$111)+(O19*Breedcow!$E$112)+(P19*Breedcow!$F$112)+(R19*Breedcow!$E$113)+(S19*Breedcow!$F$113)+(T19*Breedcow!$E$114)+(U19*Breedcow!$F$114)+(V19*Breedcow!$E$115)+(W19*Breedcow!$F$115)+(X19*Breedcow!$E$116)+(Y19*Breedcow!$F$116)+(AA19*Breedcow!$F$117)+(AC19*Breedcow!$E$118)+(AD19*Breedcow!$F$118)</f>
        <v>35562.975969521853</v>
      </c>
    </row>
    <row r="20" spans="1:32" ht="13" x14ac:dyDescent="0.3">
      <c r="A20" s="57"/>
      <c r="B20" s="605" t="s">
        <v>691</v>
      </c>
      <c r="C20" s="606"/>
      <c r="D20" s="603"/>
      <c r="E20" s="607"/>
      <c r="F20" s="608">
        <f t="shared" si="0"/>
        <v>0</v>
      </c>
      <c r="G20" s="607"/>
      <c r="H20" s="606"/>
      <c r="I20" s="603"/>
      <c r="J20" s="607">
        <v>3.5</v>
      </c>
      <c r="K20" s="603"/>
      <c r="L20" s="607">
        <v>3.5</v>
      </c>
      <c r="M20" s="603"/>
      <c r="N20" s="607">
        <v>3.5</v>
      </c>
      <c r="O20" s="603"/>
      <c r="P20" s="607"/>
      <c r="Q20" s="606"/>
      <c r="R20" s="603"/>
      <c r="S20" s="607"/>
      <c r="T20" s="603"/>
      <c r="U20" s="607"/>
      <c r="V20" s="603"/>
      <c r="W20" s="607"/>
      <c r="X20" s="603"/>
      <c r="Y20" s="607">
        <v>0</v>
      </c>
      <c r="Z20" s="609" t="s">
        <v>5</v>
      </c>
      <c r="AA20" s="607">
        <v>0</v>
      </c>
      <c r="AB20" s="610"/>
      <c r="AC20" s="603">
        <v>0</v>
      </c>
      <c r="AD20" s="607">
        <v>0</v>
      </c>
      <c r="AE20" s="46"/>
      <c r="AF20" s="235">
        <f>(D20*Breedcow!$E$108/2)+(F20*Breedcow!$E$108/2)+(E20*Breedcow!$F$108/2)+(G20*Breedcow!$F$108/2)+(I20*Breedcow!$E$109)+(J20*Breedcow!$F$109)+(K20*Breedcow!$E$110)+(L20*Breedcow!$F$110)+(M20*Breedcow!$E$111)+(N20*Breedcow!$F$111)+(O20*Breedcow!$E$112)+(P20*Breedcow!$F$112)+(R20*Breedcow!$E$113)+(S20*Breedcow!$F$113)+(T20*Breedcow!$E$114)+(U20*Breedcow!$F$114)+(V20*Breedcow!$E$115)+(W20*Breedcow!$F$115)+(X20*Breedcow!$E$116)+(Y20*Breedcow!$F$116)+(AA20*Breedcow!$F$117)+(AC20*Breedcow!$E$118)+(AD20*Breedcow!$F$118)</f>
        <v>707.88195769639196</v>
      </c>
    </row>
    <row r="21" spans="1:32" ht="13" x14ac:dyDescent="0.3">
      <c r="A21" s="57"/>
      <c r="B21" s="605"/>
      <c r="C21" s="606"/>
      <c r="D21" s="603"/>
      <c r="E21" s="607"/>
      <c r="F21" s="608">
        <f t="shared" si="0"/>
        <v>0</v>
      </c>
      <c r="G21" s="607"/>
      <c r="H21" s="606"/>
      <c r="I21" s="603"/>
      <c r="J21" s="607"/>
      <c r="K21" s="603"/>
      <c r="L21" s="607"/>
      <c r="M21" s="603"/>
      <c r="N21" s="607"/>
      <c r="O21" s="603"/>
      <c r="P21" s="607"/>
      <c r="Q21" s="606"/>
      <c r="R21" s="603">
        <v>0</v>
      </c>
      <c r="S21" s="607">
        <v>0</v>
      </c>
      <c r="T21" s="603">
        <v>0</v>
      </c>
      <c r="U21" s="607">
        <v>0</v>
      </c>
      <c r="V21" s="603">
        <v>0</v>
      </c>
      <c r="W21" s="607">
        <v>0</v>
      </c>
      <c r="X21" s="603">
        <v>0</v>
      </c>
      <c r="Y21" s="607">
        <v>0</v>
      </c>
      <c r="Z21" s="609" t="s">
        <v>5</v>
      </c>
      <c r="AA21" s="607">
        <v>0</v>
      </c>
      <c r="AB21" s="610"/>
      <c r="AC21" s="603">
        <v>0</v>
      </c>
      <c r="AD21" s="607">
        <v>0</v>
      </c>
      <c r="AE21" s="46"/>
      <c r="AF21" s="235">
        <f>(D21*Breedcow!$E$108/2)+(F21*Breedcow!$E$108/2)+(E21*Breedcow!$F$108/2)+(G21*Breedcow!$F$108/2)+(I21*Breedcow!$E$109)+(J21*Breedcow!$F$109)+(K21*Breedcow!$E$110)+(L21*Breedcow!$F$110)+(M21*Breedcow!$E$111)+(N21*Breedcow!$F$111)+(O21*Breedcow!$E$112)+(P21*Breedcow!$F$112)+(R21*Breedcow!$E$113)+(S21*Breedcow!$F$113)+(T21*Breedcow!$E$114)+(U21*Breedcow!$F$114)+(V21*Breedcow!$E$115)+(W21*Breedcow!$F$115)+(X21*Breedcow!$E$116)+(Y21*Breedcow!$F$116)+(AA21*Breedcow!$F$117)+(AC21*Breedcow!$E$118)+(AD21*Breedcow!$F$118)</f>
        <v>0</v>
      </c>
    </row>
    <row r="22" spans="1:32" ht="13" x14ac:dyDescent="0.3">
      <c r="A22" s="57"/>
      <c r="B22" s="605"/>
      <c r="C22" s="606"/>
      <c r="D22" s="603"/>
      <c r="E22" s="607"/>
      <c r="F22" s="608">
        <f t="shared" si="0"/>
        <v>0</v>
      </c>
      <c r="G22" s="607"/>
      <c r="H22" s="606"/>
      <c r="I22" s="603">
        <v>0</v>
      </c>
      <c r="J22" s="607">
        <v>0</v>
      </c>
      <c r="K22" s="603">
        <v>0</v>
      </c>
      <c r="L22" s="607">
        <v>0</v>
      </c>
      <c r="M22" s="603">
        <v>0</v>
      </c>
      <c r="N22" s="607">
        <v>0</v>
      </c>
      <c r="O22" s="603">
        <v>0</v>
      </c>
      <c r="P22" s="607">
        <v>0</v>
      </c>
      <c r="Q22" s="606"/>
      <c r="R22" s="603">
        <v>0</v>
      </c>
      <c r="S22" s="607">
        <v>0</v>
      </c>
      <c r="T22" s="603">
        <v>0</v>
      </c>
      <c r="U22" s="607">
        <v>0</v>
      </c>
      <c r="V22" s="603">
        <v>0</v>
      </c>
      <c r="W22" s="607">
        <v>0</v>
      </c>
      <c r="X22" s="603">
        <v>0</v>
      </c>
      <c r="Y22" s="607">
        <v>0</v>
      </c>
      <c r="Z22" s="609" t="s">
        <v>5</v>
      </c>
      <c r="AA22" s="607">
        <v>0</v>
      </c>
      <c r="AB22" s="610"/>
      <c r="AC22" s="603">
        <v>0</v>
      </c>
      <c r="AD22" s="607">
        <v>0</v>
      </c>
      <c r="AE22" s="46"/>
      <c r="AF22" s="235">
        <f>(D22*Breedcow!$E$108/2)+(F22*Breedcow!$E$108/2)+(E22*Breedcow!$F$108/2)+(G22*Breedcow!$F$108/2)+(I22*Breedcow!$E$109)+(J22*Breedcow!$F$109)+(K22*Breedcow!$E$110)+(L22*Breedcow!$F$110)+(M22*Breedcow!$E$111)+(N22*Breedcow!$F$111)+(O22*Breedcow!$E$112)+(P22*Breedcow!$F$112)+(R22*Breedcow!$E$113)+(S22*Breedcow!$F$113)+(T22*Breedcow!$E$114)+(U22*Breedcow!$F$114)+(V22*Breedcow!$E$115)+(W22*Breedcow!$F$115)+(X22*Breedcow!$E$116)+(Y22*Breedcow!$F$116)+(AA22*Breedcow!$F$117)+(AC22*Breedcow!$E$118)+(AD22*Breedcow!$F$118)</f>
        <v>0</v>
      </c>
    </row>
    <row r="23" spans="1:32" ht="13" x14ac:dyDescent="0.3">
      <c r="A23" s="57"/>
      <c r="B23" s="605" t="s">
        <v>692</v>
      </c>
      <c r="C23" s="606"/>
      <c r="D23" s="603">
        <v>3</v>
      </c>
      <c r="E23" s="607">
        <v>3</v>
      </c>
      <c r="F23" s="608">
        <f t="shared" si="0"/>
        <v>3</v>
      </c>
      <c r="G23" s="607">
        <v>3</v>
      </c>
      <c r="H23" s="606"/>
      <c r="I23" s="603">
        <v>0</v>
      </c>
      <c r="J23" s="607">
        <v>0</v>
      </c>
      <c r="K23" s="603">
        <v>0</v>
      </c>
      <c r="L23" s="607">
        <v>0</v>
      </c>
      <c r="M23" s="603">
        <v>0</v>
      </c>
      <c r="N23" s="607">
        <v>0</v>
      </c>
      <c r="O23" s="603">
        <v>0</v>
      </c>
      <c r="P23" s="607">
        <v>0</v>
      </c>
      <c r="Q23" s="606"/>
      <c r="R23" s="603">
        <v>0</v>
      </c>
      <c r="S23" s="607">
        <v>0</v>
      </c>
      <c r="T23" s="603">
        <v>0</v>
      </c>
      <c r="U23" s="607">
        <v>0</v>
      </c>
      <c r="V23" s="603">
        <v>0</v>
      </c>
      <c r="W23" s="607">
        <v>0</v>
      </c>
      <c r="X23" s="603">
        <v>0</v>
      </c>
      <c r="Y23" s="607">
        <v>0</v>
      </c>
      <c r="Z23" s="609" t="s">
        <v>5</v>
      </c>
      <c r="AA23" s="607">
        <v>0</v>
      </c>
      <c r="AB23" s="610"/>
      <c r="AC23" s="603">
        <v>0</v>
      </c>
      <c r="AD23" s="607">
        <v>0</v>
      </c>
      <c r="AE23" s="46"/>
      <c r="AF23" s="235">
        <f>(D23*Breedcow!$E$108/2)+(F23*Breedcow!$E$108/2)+(E23*Breedcow!$F$108/2)+(G23*Breedcow!$F$108/2)+(I23*Breedcow!$E$109)+(J23*Breedcow!$F$109)+(K23*Breedcow!$E$110)+(L23*Breedcow!$F$110)+(M23*Breedcow!$E$111)+(N23*Breedcow!$F$111)+(O23*Breedcow!$E$112)+(P23*Breedcow!$F$112)+(R23*Breedcow!$E$113)+(S23*Breedcow!$F$113)+(T23*Breedcow!$E$114)+(U23*Breedcow!$F$114)+(V23*Breedcow!$E$115)+(W23*Breedcow!$F$115)+(X23*Breedcow!$E$116)+(Y23*Breedcow!$F$116)+(AA23*Breedcow!$F$117)+(AC23*Breedcow!$E$118)+(AD23*Breedcow!$F$118)</f>
        <v>1395.0664464263814</v>
      </c>
    </row>
    <row r="24" spans="1:32" ht="13" x14ac:dyDescent="0.3">
      <c r="A24" s="57"/>
      <c r="B24" s="605" t="s">
        <v>693</v>
      </c>
      <c r="C24" s="606"/>
      <c r="D24" s="603">
        <v>0</v>
      </c>
      <c r="E24" s="607">
        <v>0</v>
      </c>
      <c r="F24" s="608">
        <f t="shared" si="0"/>
        <v>0</v>
      </c>
      <c r="G24" s="607">
        <v>0</v>
      </c>
      <c r="H24" s="606"/>
      <c r="I24" s="603">
        <v>0</v>
      </c>
      <c r="J24" s="607">
        <v>0</v>
      </c>
      <c r="K24" s="603">
        <v>0</v>
      </c>
      <c r="L24" s="607">
        <v>0</v>
      </c>
      <c r="M24" s="603">
        <v>0</v>
      </c>
      <c r="N24" s="607">
        <v>0</v>
      </c>
      <c r="O24" s="603">
        <v>0</v>
      </c>
      <c r="P24" s="607">
        <v>0</v>
      </c>
      <c r="Q24" s="606"/>
      <c r="R24" s="603">
        <v>0</v>
      </c>
      <c r="S24" s="607">
        <v>0</v>
      </c>
      <c r="T24" s="603">
        <v>0</v>
      </c>
      <c r="U24" s="607">
        <v>0</v>
      </c>
      <c r="V24" s="603">
        <v>0</v>
      </c>
      <c r="W24" s="607">
        <v>0</v>
      </c>
      <c r="X24" s="603">
        <v>0</v>
      </c>
      <c r="Y24" s="607">
        <v>0</v>
      </c>
      <c r="Z24" s="609" t="s">
        <v>5</v>
      </c>
      <c r="AA24" s="607">
        <v>0</v>
      </c>
      <c r="AB24" s="606"/>
      <c r="AC24" s="603">
        <v>10</v>
      </c>
      <c r="AD24" s="607">
        <v>0</v>
      </c>
      <c r="AE24" s="46"/>
      <c r="AF24" s="235">
        <f>(D24*Breedcow!$E$108/2)+(F24*Breedcow!$E$108/2)+(E24*Breedcow!$F$108/2)+(G24*Breedcow!$F$108/2)+(I24*Breedcow!$E$109)+(J24*Breedcow!$F$109)+(K24*Breedcow!$E$110)+(L24*Breedcow!$F$110)+(M24*Breedcow!$E$111)+(N24*Breedcow!$F$111)+(O24*Breedcow!$E$112)+(P24*Breedcow!$F$112)+(R24*Breedcow!$E$113)+(S24*Breedcow!$F$113)+(T24*Breedcow!$E$114)+(U24*Breedcow!$F$114)+(V24*Breedcow!$E$115)+(W24*Breedcow!$F$115)+(X24*Breedcow!$E$116)+(Y24*Breedcow!$F$116)+(AA24*Breedcow!$F$117)+(AC24*Breedcow!$E$118)+(AD24*Breedcow!$F$118)</f>
        <v>322.04353812423199</v>
      </c>
    </row>
    <row r="25" spans="1:32" ht="13" x14ac:dyDescent="0.3">
      <c r="A25" s="57"/>
      <c r="B25" s="605" t="s">
        <v>480</v>
      </c>
      <c r="C25" s="606"/>
      <c r="D25" s="603">
        <v>0</v>
      </c>
      <c r="E25" s="607">
        <v>0</v>
      </c>
      <c r="F25" s="608">
        <f t="shared" si="0"/>
        <v>0</v>
      </c>
      <c r="G25" s="607">
        <v>0</v>
      </c>
      <c r="H25" s="606"/>
      <c r="I25" s="603">
        <v>0</v>
      </c>
      <c r="J25" s="607">
        <v>0</v>
      </c>
      <c r="K25" s="603">
        <v>0</v>
      </c>
      <c r="L25" s="607">
        <v>0</v>
      </c>
      <c r="M25" s="603">
        <v>0</v>
      </c>
      <c r="N25" s="607">
        <v>0</v>
      </c>
      <c r="O25" s="603">
        <v>0</v>
      </c>
      <c r="P25" s="607">
        <v>0</v>
      </c>
      <c r="Q25" s="606"/>
      <c r="R25" s="603">
        <v>0</v>
      </c>
      <c r="S25" s="607">
        <v>0</v>
      </c>
      <c r="T25" s="603">
        <v>0</v>
      </c>
      <c r="U25" s="607">
        <v>0</v>
      </c>
      <c r="V25" s="603">
        <v>0</v>
      </c>
      <c r="W25" s="607">
        <v>0</v>
      </c>
      <c r="X25" s="603">
        <v>0</v>
      </c>
      <c r="Y25" s="607">
        <v>0</v>
      </c>
      <c r="Z25" s="609" t="s">
        <v>5</v>
      </c>
      <c r="AA25" s="607">
        <v>0</v>
      </c>
      <c r="AB25" s="606"/>
      <c r="AC25" s="603">
        <v>0</v>
      </c>
      <c r="AD25" s="607">
        <v>0</v>
      </c>
      <c r="AE25" s="46"/>
      <c r="AF25" s="235">
        <f>(D25*Breedcow!$E$108/2)+(F25*Breedcow!$E$108/2)+(E25*Breedcow!$F$108/2)+(G25*Breedcow!$F$108/2)+(I25*Breedcow!$E$109)+(J25*Breedcow!$F$109)+(K25*Breedcow!$E$110)+(L25*Breedcow!$F$110)+(M25*Breedcow!$E$111)+(N25*Breedcow!$F$111)+(O25*Breedcow!$E$112)+(P25*Breedcow!$F$112)+(R25*Breedcow!$E$113)+(S25*Breedcow!$F$113)+(T25*Breedcow!$E$114)+(U25*Breedcow!$F$114)+(V25*Breedcow!$E$115)+(W25*Breedcow!$F$115)+(X25*Breedcow!$E$116)+(Y25*Breedcow!$F$116)+(AA25*Breedcow!$F$117)+(AC25*Breedcow!$E$118)+(AD25*Breedcow!$F$118)</f>
        <v>0</v>
      </c>
    </row>
    <row r="26" spans="1:32" ht="13" x14ac:dyDescent="0.3">
      <c r="A26" s="57"/>
      <c r="B26" s="605" t="s">
        <v>694</v>
      </c>
      <c r="C26" s="606"/>
      <c r="D26" s="603">
        <v>0</v>
      </c>
      <c r="E26" s="607">
        <v>0</v>
      </c>
      <c r="F26" s="608">
        <f t="shared" si="0"/>
        <v>0</v>
      </c>
      <c r="G26" s="607">
        <v>0</v>
      </c>
      <c r="H26" s="606"/>
      <c r="I26" s="603">
        <v>0</v>
      </c>
      <c r="J26" s="607">
        <v>0</v>
      </c>
      <c r="K26" s="603">
        <v>0</v>
      </c>
      <c r="L26" s="607">
        <v>0</v>
      </c>
      <c r="M26" s="603">
        <v>0</v>
      </c>
      <c r="N26" s="607">
        <v>0</v>
      </c>
      <c r="O26" s="603">
        <v>0</v>
      </c>
      <c r="P26" s="607">
        <v>0</v>
      </c>
      <c r="Q26" s="606"/>
      <c r="R26" s="603">
        <v>0</v>
      </c>
      <c r="S26" s="607">
        <v>0</v>
      </c>
      <c r="T26" s="603">
        <v>0</v>
      </c>
      <c r="U26" s="607">
        <v>0</v>
      </c>
      <c r="V26" s="603">
        <v>0</v>
      </c>
      <c r="W26" s="607">
        <v>0</v>
      </c>
      <c r="X26" s="603">
        <v>0</v>
      </c>
      <c r="Y26" s="607">
        <v>0</v>
      </c>
      <c r="Z26" s="609" t="s">
        <v>5</v>
      </c>
      <c r="AA26" s="607">
        <v>0</v>
      </c>
      <c r="AB26" s="606"/>
      <c r="AC26" s="603">
        <v>0</v>
      </c>
      <c r="AD26" s="607">
        <v>0</v>
      </c>
      <c r="AE26" s="46"/>
      <c r="AF26" s="235">
        <f>(D26*Breedcow!$E$108/2)+(F26*Breedcow!$E$108/2)+(E26*Breedcow!$F$108/2)+(G26*Breedcow!$F$108/2)+(I26*Breedcow!$E$109)+(J26*Breedcow!$F$109)+(K26*Breedcow!$E$110)+(L26*Breedcow!$F$110)+(M26*Breedcow!$E$111)+(N26*Breedcow!$F$111)+(O26*Breedcow!$E$112)+(P26*Breedcow!$F$112)+(R26*Breedcow!$E$113)+(S26*Breedcow!$F$113)+(T26*Breedcow!$E$114)+(U26*Breedcow!$F$114)+(V26*Breedcow!$E$115)+(W26*Breedcow!$F$115)+(X26*Breedcow!$E$116)+(Y26*Breedcow!$F$116)+(AA26*Breedcow!$F$117)+(AC26*Breedcow!$E$118)+(AD26*Breedcow!$F$118)</f>
        <v>0</v>
      </c>
    </row>
    <row r="27" spans="1:32" ht="13" x14ac:dyDescent="0.3">
      <c r="A27" s="57"/>
      <c r="B27" s="323" t="s">
        <v>481</v>
      </c>
      <c r="C27" s="65" t="s">
        <v>366</v>
      </c>
      <c r="D27" s="322">
        <v>0</v>
      </c>
      <c r="E27" s="324">
        <v>0</v>
      </c>
      <c r="F27" s="393">
        <f t="shared" ref="F27:F33" si="1">D27</f>
        <v>0</v>
      </c>
      <c r="G27" s="324">
        <v>0</v>
      </c>
      <c r="H27" s="65"/>
      <c r="I27" s="322">
        <v>0</v>
      </c>
      <c r="J27" s="324">
        <v>0</v>
      </c>
      <c r="K27" s="322">
        <v>0</v>
      </c>
      <c r="L27" s="324">
        <v>0</v>
      </c>
      <c r="M27" s="322">
        <v>0</v>
      </c>
      <c r="N27" s="324">
        <v>0</v>
      </c>
      <c r="O27" s="322">
        <v>0</v>
      </c>
      <c r="P27" s="324">
        <v>0</v>
      </c>
      <c r="Q27" s="65"/>
      <c r="R27" s="322">
        <v>0</v>
      </c>
      <c r="S27" s="324">
        <v>0</v>
      </c>
      <c r="T27" s="322">
        <v>0</v>
      </c>
      <c r="U27" s="324">
        <v>0</v>
      </c>
      <c r="V27" s="322">
        <v>0</v>
      </c>
      <c r="W27" s="324">
        <v>0</v>
      </c>
      <c r="X27" s="322">
        <v>0</v>
      </c>
      <c r="Y27" s="324">
        <v>0</v>
      </c>
      <c r="Z27" s="233" t="s">
        <v>5</v>
      </c>
      <c r="AA27" s="232"/>
      <c r="AB27" s="65"/>
      <c r="AC27" s="322">
        <v>0</v>
      </c>
      <c r="AD27" s="324">
        <v>0</v>
      </c>
      <c r="AE27" s="46"/>
      <c r="AF27" s="235">
        <f>(D27*Breedcow!$E$108/2)+(F27*Breedcow!$E$108/2)+(E27*Breedcow!$F$108/2)+(G27*Breedcow!$F$108/2)+(I27*Breedcow!$E$109)+(J27*Breedcow!$F$109)+(K27*Breedcow!$E$110)+(L27*Breedcow!$F$110)+(M27*Breedcow!$E$111)+(N27*Breedcow!$F$111)+(O27*Breedcow!$E$112)+(P27*Breedcow!$F$112)+(R27*Breedcow!$E$113)+(S27*Breedcow!$F$113)+(T27*Breedcow!$E$114)+(U27*Breedcow!$F$114)+(V27*Breedcow!$E$115)+(W27*Breedcow!$F$115)+(X27*Breedcow!$E$116)+(Y27*Breedcow!$F$116)+(AA27*Breedcow!$F$117)+(AC27*Breedcow!$E$118)+(AD27*Breedcow!$F$118)</f>
        <v>0</v>
      </c>
    </row>
    <row r="28" spans="1:32" ht="13" x14ac:dyDescent="0.3">
      <c r="A28" s="57"/>
      <c r="B28" s="323" t="s">
        <v>482</v>
      </c>
      <c r="C28" s="65" t="s">
        <v>365</v>
      </c>
      <c r="D28" s="322">
        <v>0</v>
      </c>
      <c r="E28" s="324">
        <v>0</v>
      </c>
      <c r="F28" s="393">
        <f t="shared" si="1"/>
        <v>0</v>
      </c>
      <c r="G28" s="324">
        <v>0</v>
      </c>
      <c r="H28" s="65"/>
      <c r="I28" s="322">
        <v>0</v>
      </c>
      <c r="J28" s="324">
        <v>0</v>
      </c>
      <c r="K28" s="322">
        <v>0</v>
      </c>
      <c r="L28" s="324">
        <v>0</v>
      </c>
      <c r="M28" s="322">
        <v>0</v>
      </c>
      <c r="N28" s="324">
        <v>0</v>
      </c>
      <c r="O28" s="322">
        <v>0</v>
      </c>
      <c r="P28" s="324">
        <v>0</v>
      </c>
      <c r="Q28" s="65"/>
      <c r="R28" s="322">
        <v>0</v>
      </c>
      <c r="S28" s="324">
        <v>0</v>
      </c>
      <c r="T28" s="322">
        <v>0</v>
      </c>
      <c r="U28" s="324">
        <v>0</v>
      </c>
      <c r="V28" s="322">
        <v>0</v>
      </c>
      <c r="W28" s="324">
        <v>0</v>
      </c>
      <c r="X28" s="322">
        <v>0</v>
      </c>
      <c r="Y28" s="324">
        <v>0</v>
      </c>
      <c r="Z28" s="233" t="s">
        <v>5</v>
      </c>
      <c r="AA28" s="232"/>
      <c r="AB28" s="65"/>
      <c r="AC28" s="322">
        <v>0</v>
      </c>
      <c r="AD28" s="324">
        <v>0</v>
      </c>
      <c r="AE28" s="46"/>
      <c r="AF28" s="235">
        <f>(D28*Breedcow!$E$108/2)+(F28*Breedcow!$E$108/2)+(E28*Breedcow!$F$108/2)+(G28*Breedcow!$F$108/2)+(I28*Breedcow!$E$109)+(J28*Breedcow!$F$109)+(K28*Breedcow!$E$110)+(L28*Breedcow!$F$110)+(M28*Breedcow!$E$111)+(N28*Breedcow!$F$111)+(O28*Breedcow!$E$112)+(P28*Breedcow!$F$112)+(R28*Breedcow!$E$113)+(S28*Breedcow!$F$113)+(T28*Breedcow!$E$114)+(U28*Breedcow!$F$114)+(V28*Breedcow!$E$115)+(W28*Breedcow!$F$115)+(X28*Breedcow!$E$116)+(Y28*Breedcow!$F$116)+(AA28*Breedcow!$F$117)+(AC28*Breedcow!$E$118)+(AD28*Breedcow!$F$118)</f>
        <v>0</v>
      </c>
    </row>
    <row r="29" spans="1:32" ht="13" x14ac:dyDescent="0.3">
      <c r="A29" s="57"/>
      <c r="B29" s="323" t="s">
        <v>483</v>
      </c>
      <c r="C29" s="65"/>
      <c r="D29" s="322">
        <v>0</v>
      </c>
      <c r="E29" s="324">
        <v>0</v>
      </c>
      <c r="F29" s="393">
        <f t="shared" si="1"/>
        <v>0</v>
      </c>
      <c r="G29" s="324">
        <v>0</v>
      </c>
      <c r="H29" s="65"/>
      <c r="I29" s="322">
        <v>0</v>
      </c>
      <c r="J29" s="324">
        <v>0</v>
      </c>
      <c r="K29" s="322">
        <v>0</v>
      </c>
      <c r="L29" s="324">
        <v>0</v>
      </c>
      <c r="M29" s="322">
        <v>0</v>
      </c>
      <c r="N29" s="324">
        <v>0</v>
      </c>
      <c r="O29" s="322">
        <v>0</v>
      </c>
      <c r="P29" s="324">
        <v>0</v>
      </c>
      <c r="Q29" s="65"/>
      <c r="R29" s="322">
        <v>0</v>
      </c>
      <c r="S29" s="324">
        <v>0</v>
      </c>
      <c r="T29" s="322">
        <v>0</v>
      </c>
      <c r="U29" s="324">
        <v>0</v>
      </c>
      <c r="V29" s="322">
        <v>0</v>
      </c>
      <c r="W29" s="324">
        <v>0</v>
      </c>
      <c r="X29" s="322">
        <v>0</v>
      </c>
      <c r="Y29" s="324">
        <v>0</v>
      </c>
      <c r="Z29" s="233" t="s">
        <v>5</v>
      </c>
      <c r="AA29" s="232"/>
      <c r="AB29" s="65"/>
      <c r="AC29" s="322">
        <v>0</v>
      </c>
      <c r="AD29" s="324">
        <v>0</v>
      </c>
      <c r="AE29" s="46"/>
      <c r="AF29" s="235">
        <f>(D29*Breedcow!$E$108/2)+(F29*Breedcow!$E$108/2)+(E29*Breedcow!$F$108/2)+(G29*Breedcow!$F$108/2)+(I29*Breedcow!$E$109)+(J29*Breedcow!$F$109)+(K29*Breedcow!$E$110)+(L29*Breedcow!$F$110)+(M29*Breedcow!$E$111)+(N29*Breedcow!$F$111)+(O29*Breedcow!$E$112)+(P29*Breedcow!$F$112)+(R29*Breedcow!$E$113)+(S29*Breedcow!$F$113)+(T29*Breedcow!$E$114)+(U29*Breedcow!$F$114)+(V29*Breedcow!$E$115)+(W29*Breedcow!$F$115)+(X29*Breedcow!$E$116)+(Y29*Breedcow!$F$116)+(AA29*Breedcow!$F$117)+(AC29*Breedcow!$E$118)+(AD29*Breedcow!$F$118)</f>
        <v>0</v>
      </c>
    </row>
    <row r="30" spans="1:32" ht="13" x14ac:dyDescent="0.3">
      <c r="A30" s="57"/>
      <c r="B30" s="323" t="s">
        <v>484</v>
      </c>
      <c r="C30" s="65"/>
      <c r="D30" s="322">
        <v>0</v>
      </c>
      <c r="E30" s="324">
        <v>0</v>
      </c>
      <c r="F30" s="393">
        <f t="shared" si="1"/>
        <v>0</v>
      </c>
      <c r="G30" s="324">
        <v>0</v>
      </c>
      <c r="H30" s="65"/>
      <c r="I30" s="322">
        <v>0</v>
      </c>
      <c r="J30" s="324">
        <v>0</v>
      </c>
      <c r="K30" s="322">
        <v>0</v>
      </c>
      <c r="L30" s="324">
        <v>0</v>
      </c>
      <c r="M30" s="322">
        <v>0</v>
      </c>
      <c r="N30" s="324">
        <v>0</v>
      </c>
      <c r="O30" s="322">
        <v>0</v>
      </c>
      <c r="P30" s="324">
        <v>0</v>
      </c>
      <c r="Q30" s="65"/>
      <c r="R30" s="322">
        <v>0</v>
      </c>
      <c r="S30" s="324">
        <v>0</v>
      </c>
      <c r="T30" s="322">
        <v>0</v>
      </c>
      <c r="U30" s="324">
        <v>0</v>
      </c>
      <c r="V30" s="322">
        <v>0</v>
      </c>
      <c r="W30" s="324">
        <v>0</v>
      </c>
      <c r="X30" s="322">
        <v>0</v>
      </c>
      <c r="Y30" s="324">
        <v>0</v>
      </c>
      <c r="Z30" s="233" t="s">
        <v>5</v>
      </c>
      <c r="AA30" s="232"/>
      <c r="AB30" s="65"/>
      <c r="AC30" s="322">
        <v>0</v>
      </c>
      <c r="AD30" s="324">
        <v>0</v>
      </c>
      <c r="AE30" s="46"/>
      <c r="AF30" s="235">
        <f>(D30*Breedcow!$E$108/2)+(F30*Breedcow!$E$108/2)+(E30*Breedcow!$F$108/2)+(G30*Breedcow!$F$108/2)+(I30*Breedcow!$E$109)+(J30*Breedcow!$F$109)+(K30*Breedcow!$E$110)+(L30*Breedcow!$F$110)+(M30*Breedcow!$E$111)+(N30*Breedcow!$F$111)+(O30*Breedcow!$E$112)+(P30*Breedcow!$F$112)+(R30*Breedcow!$E$113)+(S30*Breedcow!$F$113)+(T30*Breedcow!$E$114)+(U30*Breedcow!$F$114)+(V30*Breedcow!$E$115)+(W30*Breedcow!$F$115)+(X30*Breedcow!$E$116)+(Y30*Breedcow!$F$116)+(AA30*Breedcow!$F$117)+(AC30*Breedcow!$E$118)+(AD30*Breedcow!$F$118)</f>
        <v>0</v>
      </c>
    </row>
    <row r="31" spans="1:32" ht="13" x14ac:dyDescent="0.3">
      <c r="A31" s="57"/>
      <c r="B31" s="323" t="s">
        <v>485</v>
      </c>
      <c r="C31" s="65" t="s">
        <v>366</v>
      </c>
      <c r="D31" s="322">
        <v>0</v>
      </c>
      <c r="E31" s="324">
        <v>0</v>
      </c>
      <c r="F31" s="393">
        <f t="shared" si="1"/>
        <v>0</v>
      </c>
      <c r="G31" s="324">
        <v>0</v>
      </c>
      <c r="H31" s="65"/>
      <c r="I31" s="322">
        <v>0</v>
      </c>
      <c r="J31" s="324">
        <v>0</v>
      </c>
      <c r="K31" s="322">
        <v>0</v>
      </c>
      <c r="L31" s="324">
        <v>0</v>
      </c>
      <c r="M31" s="322">
        <v>0</v>
      </c>
      <c r="N31" s="324">
        <v>0</v>
      </c>
      <c r="O31" s="322">
        <v>0</v>
      </c>
      <c r="P31" s="324">
        <v>0</v>
      </c>
      <c r="Q31" s="65"/>
      <c r="R31" s="322">
        <v>0</v>
      </c>
      <c r="S31" s="324">
        <v>0</v>
      </c>
      <c r="T31" s="322">
        <v>0</v>
      </c>
      <c r="U31" s="324">
        <v>0</v>
      </c>
      <c r="V31" s="322">
        <v>0</v>
      </c>
      <c r="W31" s="324">
        <v>0</v>
      </c>
      <c r="X31" s="322">
        <v>0</v>
      </c>
      <c r="Y31" s="324">
        <v>0</v>
      </c>
      <c r="Z31" s="233" t="s">
        <v>5</v>
      </c>
      <c r="AA31" s="232"/>
      <c r="AB31" s="65"/>
      <c r="AC31" s="322">
        <v>0</v>
      </c>
      <c r="AD31" s="324">
        <v>0</v>
      </c>
      <c r="AE31" s="46"/>
      <c r="AF31" s="235">
        <f>(D31*Breedcow!$E$108/2)+(F31*Breedcow!$E$108/2)+(E31*Breedcow!$F$108/2)+(G31*Breedcow!$F$108/2)+(I31*Breedcow!$E$109)+(J31*Breedcow!$F$109)+(K31*Breedcow!$E$110)+(L31*Breedcow!$F$110)+(M31*Breedcow!$E$111)+(N31*Breedcow!$F$111)+(O31*Breedcow!$E$112)+(P31*Breedcow!$F$112)+(R31*Breedcow!$E$113)+(S31*Breedcow!$F$113)+(T31*Breedcow!$E$114)+(U31*Breedcow!$F$114)+(V31*Breedcow!$E$115)+(W31*Breedcow!$F$115)+(X31*Breedcow!$E$116)+(Y31*Breedcow!$F$116)+(AA31*Breedcow!$F$117)+(AC31*Breedcow!$E$118)+(AD31*Breedcow!$F$118)</f>
        <v>0</v>
      </c>
    </row>
    <row r="32" spans="1:32" ht="13" x14ac:dyDescent="0.3">
      <c r="A32" s="57"/>
      <c r="B32" s="323" t="s">
        <v>486</v>
      </c>
      <c r="C32" s="65"/>
      <c r="D32" s="322">
        <v>0</v>
      </c>
      <c r="E32" s="324">
        <v>0</v>
      </c>
      <c r="F32" s="393">
        <f t="shared" si="1"/>
        <v>0</v>
      </c>
      <c r="G32" s="324">
        <v>0</v>
      </c>
      <c r="H32" s="65"/>
      <c r="I32" s="322">
        <v>0</v>
      </c>
      <c r="J32" s="324">
        <v>0</v>
      </c>
      <c r="K32" s="322">
        <v>0</v>
      </c>
      <c r="L32" s="324">
        <v>0</v>
      </c>
      <c r="M32" s="322">
        <v>0</v>
      </c>
      <c r="N32" s="324">
        <v>0</v>
      </c>
      <c r="O32" s="322">
        <v>0</v>
      </c>
      <c r="P32" s="324">
        <v>0</v>
      </c>
      <c r="Q32" s="65"/>
      <c r="R32" s="322">
        <v>0</v>
      </c>
      <c r="S32" s="324">
        <v>0</v>
      </c>
      <c r="T32" s="322">
        <v>0</v>
      </c>
      <c r="U32" s="324">
        <v>0</v>
      </c>
      <c r="V32" s="322">
        <v>0</v>
      </c>
      <c r="W32" s="324">
        <v>0</v>
      </c>
      <c r="X32" s="322">
        <v>0</v>
      </c>
      <c r="Y32" s="324">
        <v>0</v>
      </c>
      <c r="Z32" s="233" t="s">
        <v>5</v>
      </c>
      <c r="AA32" s="232"/>
      <c r="AB32" s="65"/>
      <c r="AC32" s="322">
        <v>0</v>
      </c>
      <c r="AD32" s="324">
        <v>0</v>
      </c>
      <c r="AE32" s="46"/>
      <c r="AF32" s="235">
        <f>(D32*Breedcow!$E$108/2)+(F32*Breedcow!$E$108/2)+(E32*Breedcow!$F$108/2)+(G32*Breedcow!$F$108/2)+(I32*Breedcow!$E$109)+(J32*Breedcow!$F$109)+(K32*Breedcow!$E$110)+(L32*Breedcow!$F$110)+(M32*Breedcow!$E$111)+(N32*Breedcow!$F$111)+(O32*Breedcow!$E$112)+(P32*Breedcow!$F$112)+(R32*Breedcow!$E$113)+(S32*Breedcow!$F$113)+(T32*Breedcow!$E$114)+(U32*Breedcow!$F$114)+(V32*Breedcow!$E$115)+(W32*Breedcow!$F$115)+(X32*Breedcow!$E$116)+(Y32*Breedcow!$F$116)+(AA32*Breedcow!$F$117)+(AC32*Breedcow!$E$118)+(AD32*Breedcow!$F$118)</f>
        <v>0</v>
      </c>
    </row>
    <row r="33" spans="1:32" ht="13" x14ac:dyDescent="0.3">
      <c r="A33" s="57"/>
      <c r="B33" s="323" t="s">
        <v>487</v>
      </c>
      <c r="C33" s="65" t="s">
        <v>365</v>
      </c>
      <c r="D33" s="322">
        <v>0</v>
      </c>
      <c r="E33" s="324">
        <v>0</v>
      </c>
      <c r="F33" s="393">
        <f t="shared" si="1"/>
        <v>0</v>
      </c>
      <c r="G33" s="324">
        <v>0</v>
      </c>
      <c r="H33" s="65"/>
      <c r="I33" s="322">
        <v>0</v>
      </c>
      <c r="J33" s="324">
        <v>0</v>
      </c>
      <c r="K33" s="322">
        <v>0</v>
      </c>
      <c r="L33" s="324">
        <v>0</v>
      </c>
      <c r="M33" s="322">
        <v>0</v>
      </c>
      <c r="N33" s="324">
        <v>0</v>
      </c>
      <c r="O33" s="322">
        <v>0</v>
      </c>
      <c r="P33" s="324">
        <v>0</v>
      </c>
      <c r="Q33" s="65"/>
      <c r="R33" s="322">
        <v>0</v>
      </c>
      <c r="S33" s="324">
        <v>0</v>
      </c>
      <c r="T33" s="322">
        <v>0</v>
      </c>
      <c r="U33" s="324">
        <v>0</v>
      </c>
      <c r="V33" s="322">
        <v>0</v>
      </c>
      <c r="W33" s="324">
        <v>0</v>
      </c>
      <c r="X33" s="322">
        <v>0</v>
      </c>
      <c r="Y33" s="324">
        <v>0</v>
      </c>
      <c r="Z33" s="233" t="s">
        <v>5</v>
      </c>
      <c r="AA33" s="232"/>
      <c r="AB33" s="65"/>
      <c r="AC33" s="231"/>
      <c r="AD33" s="232"/>
      <c r="AE33" s="46"/>
      <c r="AF33" s="236">
        <f>(D33*Breedcow!$E$108/2)+(F33*Breedcow!$E$108/2)+(E33*Breedcow!$F$108/2)+(G33*Breedcow!$F$108/2)+(I33*Breedcow!$E$109)+(J33*Breedcow!$F$109)+(K33*Breedcow!$E$110)+(L33*Breedcow!$F$110)+(M33*Breedcow!$E$111)+(N33*Breedcow!$F$111)+(O33*Breedcow!$E$112)+(P33*Breedcow!$F$112)+(R33*Breedcow!$E$113)+(S33*Breedcow!$F$113)+(T33*Breedcow!$E$114)+(U33*Breedcow!$F$114)+(V33*Breedcow!$E$115)+(W33*Breedcow!$F$115)+(X33*Breedcow!$E$116)+(Y33*Breedcow!$F$116)+(AA33*Breedcow!$F$117)+(AC33*Breedcow!$E$118)+(AD33*Breedcow!$F$118)</f>
        <v>0</v>
      </c>
    </row>
    <row r="34" spans="1:32" x14ac:dyDescent="0.25">
      <c r="A34" s="70"/>
      <c r="B34" s="83"/>
      <c r="C34" s="104"/>
      <c r="D34" s="83"/>
      <c r="E34" s="83"/>
      <c r="F34" s="83"/>
      <c r="G34" s="83"/>
      <c r="H34" s="104"/>
      <c r="I34" s="83"/>
      <c r="J34" s="83"/>
      <c r="K34" s="83"/>
      <c r="L34" s="83"/>
      <c r="M34" s="83"/>
      <c r="N34" s="83"/>
      <c r="O34" s="83"/>
      <c r="P34" s="83"/>
      <c r="Q34" s="104"/>
      <c r="R34" s="83"/>
      <c r="S34" s="83"/>
      <c r="T34" s="83"/>
      <c r="U34" s="83"/>
      <c r="V34" s="83"/>
      <c r="W34" s="83"/>
      <c r="X34" s="83"/>
      <c r="Y34" s="83"/>
      <c r="Z34" s="83"/>
      <c r="AA34" s="83"/>
      <c r="AB34" s="104"/>
      <c r="AC34" s="83"/>
      <c r="AD34" s="83"/>
      <c r="AE34" s="22"/>
      <c r="AF34" s="22"/>
    </row>
    <row r="35" spans="1:32" ht="13" x14ac:dyDescent="0.3">
      <c r="A35" s="57"/>
      <c r="B35" s="104" t="s">
        <v>240</v>
      </c>
      <c r="C35" s="65"/>
      <c r="D35" s="237">
        <f>SUM(D14:D33)</f>
        <v>39.33</v>
      </c>
      <c r="E35" s="238">
        <f>SUM(E14:E33)</f>
        <v>13</v>
      </c>
      <c r="F35" s="237">
        <f>SUM(F14:F33)</f>
        <v>39.33</v>
      </c>
      <c r="G35" s="238">
        <f>SUM(G14:G33)</f>
        <v>13</v>
      </c>
      <c r="H35" s="65"/>
      <c r="I35" s="237">
        <f t="shared" ref="I35:P35" si="2">SUM(I14:I33)</f>
        <v>24.29</v>
      </c>
      <c r="J35" s="238">
        <f t="shared" si="2"/>
        <v>11.83</v>
      </c>
      <c r="K35" s="237">
        <f t="shared" si="2"/>
        <v>35.270000000000003</v>
      </c>
      <c r="L35" s="238">
        <f t="shared" si="2"/>
        <v>15.33</v>
      </c>
      <c r="M35" s="237">
        <f t="shared" si="2"/>
        <v>35.270000000000003</v>
      </c>
      <c r="N35" s="238">
        <f t="shared" si="2"/>
        <v>15.33</v>
      </c>
      <c r="O35" s="237">
        <f t="shared" si="2"/>
        <v>6</v>
      </c>
      <c r="P35" s="238">
        <f t="shared" si="2"/>
        <v>5</v>
      </c>
      <c r="Q35" s="65"/>
      <c r="R35" s="237">
        <f t="shared" ref="R35:Y35" si="3">SUM(R14:R33)</f>
        <v>24.29</v>
      </c>
      <c r="S35" s="239">
        <f t="shared" si="3"/>
        <v>8.33</v>
      </c>
      <c r="T35" s="237">
        <f t="shared" si="3"/>
        <v>24.29</v>
      </c>
      <c r="U35" s="239">
        <f t="shared" si="3"/>
        <v>8.33</v>
      </c>
      <c r="V35" s="237">
        <f t="shared" si="3"/>
        <v>8.33</v>
      </c>
      <c r="W35" s="239">
        <f t="shared" si="3"/>
        <v>8.33</v>
      </c>
      <c r="X35" s="237">
        <f t="shared" si="3"/>
        <v>0</v>
      </c>
      <c r="Y35" s="239">
        <f t="shared" si="3"/>
        <v>0</v>
      </c>
      <c r="Z35" s="240" t="s">
        <v>5</v>
      </c>
      <c r="AA35" s="239">
        <f>SUM(AA14:AA33)</f>
        <v>0</v>
      </c>
      <c r="AB35" s="65"/>
      <c r="AC35" s="237">
        <f>SUM(AC14:AC33)</f>
        <v>41</v>
      </c>
      <c r="AD35" s="237">
        <f>SUM(AD14:AD33)</f>
        <v>30</v>
      </c>
      <c r="AE35" s="46"/>
      <c r="AF35" s="241">
        <f>SUM(AF14:AF33)</f>
        <v>63107.414655411703</v>
      </c>
    </row>
    <row r="36" spans="1:32" x14ac:dyDescent="0.25">
      <c r="A36" s="70"/>
      <c r="B36" s="69"/>
      <c r="C36" s="70"/>
      <c r="D36" s="69"/>
      <c r="E36" s="69"/>
      <c r="F36" s="69"/>
      <c r="G36" s="69"/>
      <c r="H36" s="104"/>
      <c r="I36" s="69"/>
      <c r="J36" s="69"/>
      <c r="K36" s="69"/>
      <c r="L36" s="69"/>
      <c r="M36" s="69"/>
      <c r="N36" s="69"/>
      <c r="O36" s="69"/>
      <c r="P36" s="69"/>
      <c r="Q36" s="70"/>
      <c r="R36" s="69"/>
      <c r="S36" s="69"/>
      <c r="T36" s="69"/>
      <c r="U36" s="69"/>
      <c r="V36" s="69"/>
      <c r="W36" s="69"/>
      <c r="X36" s="69"/>
      <c r="Y36" s="69"/>
      <c r="Z36" s="69"/>
      <c r="AA36" s="69"/>
      <c r="AB36" s="70"/>
      <c r="AC36" s="69"/>
      <c r="AD36" s="69"/>
      <c r="AE36" s="104"/>
      <c r="AF36" s="22"/>
    </row>
    <row r="37" spans="1:32" x14ac:dyDescent="0.25">
      <c r="A37" s="104"/>
      <c r="B37" s="121" t="s">
        <v>442</v>
      </c>
      <c r="C37" s="122"/>
      <c r="D37" s="272">
        <f>Breedcow!E108/2</f>
        <v>232.51107440439688</v>
      </c>
      <c r="E37" s="273">
        <f>Breedcow!F108/2</f>
        <v>0</v>
      </c>
      <c r="F37" s="273">
        <f>Breedcow!E108/2</f>
        <v>232.51107440439688</v>
      </c>
      <c r="G37" s="274">
        <f>Breedcow!F108/2</f>
        <v>0</v>
      </c>
      <c r="H37" s="122"/>
      <c r="I37" s="272">
        <f>Breedcow!E109</f>
        <v>226.69829754428696</v>
      </c>
      <c r="J37" s="273">
        <f>Breedcow!F109</f>
        <v>0</v>
      </c>
      <c r="K37" s="273">
        <f>Breedcow!E110</f>
        <v>105.94146145635011</v>
      </c>
      <c r="L37" s="273">
        <f>Breedcow!F110</f>
        <v>115.08937864932966</v>
      </c>
      <c r="M37" s="273">
        <f>Breedcow!E111</f>
        <v>645.2126262406465</v>
      </c>
      <c r="N37" s="273">
        <f>Breedcow!F111</f>
        <v>87.162609263925205</v>
      </c>
      <c r="O37" s="273">
        <f>Breedcow!E112</f>
        <v>0</v>
      </c>
      <c r="P37" s="274">
        <f>Breedcow!F112</f>
        <v>0</v>
      </c>
      <c r="Q37" s="124"/>
      <c r="R37" s="272">
        <f>Breedcow!E113</f>
        <v>226.69829754428696</v>
      </c>
      <c r="S37" s="273">
        <f>Breedcow!F113</f>
        <v>0</v>
      </c>
      <c r="T37" s="273">
        <f>Breedcow!E114</f>
        <v>37.575242817965574</v>
      </c>
      <c r="U37" s="273">
        <f>Breedcow!F114</f>
        <v>183.4555972877142</v>
      </c>
      <c r="V37" s="273">
        <f>Breedcow!E115</f>
        <v>0</v>
      </c>
      <c r="W37" s="273">
        <f>Breedcow!F115</f>
        <v>36.635861747516437</v>
      </c>
      <c r="X37" s="273">
        <f>Breedcow!E116</f>
        <v>0</v>
      </c>
      <c r="Y37" s="273">
        <f>Breedcow!F116</f>
        <v>0</v>
      </c>
      <c r="Z37" s="123"/>
      <c r="AA37" s="274">
        <f>Breedcow!F117</f>
        <v>0</v>
      </c>
      <c r="AB37" s="125"/>
      <c r="AC37" s="272">
        <f>Breedcow!E118</f>
        <v>32.2043538124232</v>
      </c>
      <c r="AD37" s="274">
        <f>Breedcow!F118</f>
        <v>4.8306530718634804</v>
      </c>
      <c r="AE37" s="126"/>
      <c r="AF37" s="275">
        <f>Breedcow!E120+Breedcow!F120</f>
        <v>2166.5265282451023</v>
      </c>
    </row>
    <row r="38" spans="1:32" x14ac:dyDescent="0.25">
      <c r="A38" s="104"/>
      <c r="B38" s="121" t="s">
        <v>443</v>
      </c>
      <c r="C38" s="122"/>
      <c r="D38" s="242">
        <f>D37*D35</f>
        <v>9144.6605563249286</v>
      </c>
      <c r="E38" s="243">
        <f>E37*E35</f>
        <v>0</v>
      </c>
      <c r="F38" s="243">
        <f>F37*F35</f>
        <v>9144.6605563249286</v>
      </c>
      <c r="G38" s="244">
        <f>G37*G35</f>
        <v>0</v>
      </c>
      <c r="H38" s="122"/>
      <c r="I38" s="242">
        <f>I37*I35</f>
        <v>5506.5016473507303</v>
      </c>
      <c r="J38" s="243">
        <f t="shared" ref="J38:P38" si="4">J37*J35</f>
        <v>0</v>
      </c>
      <c r="K38" s="243">
        <f t="shared" si="4"/>
        <v>3736.555345565469</v>
      </c>
      <c r="L38" s="243">
        <f t="shared" si="4"/>
        <v>1764.3201746942236</v>
      </c>
      <c r="M38" s="243">
        <f t="shared" si="4"/>
        <v>22756.649327507603</v>
      </c>
      <c r="N38" s="243">
        <f t="shared" si="4"/>
        <v>1336.2028000159735</v>
      </c>
      <c r="O38" s="243">
        <f t="shared" si="4"/>
        <v>0</v>
      </c>
      <c r="P38" s="244">
        <f t="shared" si="4"/>
        <v>0</v>
      </c>
      <c r="Q38" s="124"/>
      <c r="R38" s="242">
        <f>R37*R35</f>
        <v>5506.5016473507303</v>
      </c>
      <c r="S38" s="243">
        <f t="shared" ref="S38:Y38" si="5">S37*S35</f>
        <v>0</v>
      </c>
      <c r="T38" s="243">
        <f t="shared" si="5"/>
        <v>912.70264804838371</v>
      </c>
      <c r="U38" s="243">
        <f t="shared" si="5"/>
        <v>1528.1851254066594</v>
      </c>
      <c r="V38" s="243">
        <f t="shared" si="5"/>
        <v>0</v>
      </c>
      <c r="W38" s="243">
        <f t="shared" si="5"/>
        <v>305.17672835681191</v>
      </c>
      <c r="X38" s="243">
        <f t="shared" si="5"/>
        <v>0</v>
      </c>
      <c r="Y38" s="243">
        <f t="shared" si="5"/>
        <v>0</v>
      </c>
      <c r="Z38" s="243"/>
      <c r="AA38" s="244">
        <f>AA37*AA35</f>
        <v>0</v>
      </c>
      <c r="AB38" s="127"/>
      <c r="AC38" s="242">
        <f>AC37*AC35</f>
        <v>1320.3785063093512</v>
      </c>
      <c r="AD38" s="244">
        <f>AD37*AD35</f>
        <v>144.91959215590441</v>
      </c>
      <c r="AE38" s="89"/>
      <c r="AF38" s="241">
        <f>AF35/AF37</f>
        <v>29.128383074325445</v>
      </c>
    </row>
    <row r="39" spans="1:32" ht="13" x14ac:dyDescent="0.3">
      <c r="A39" s="104"/>
      <c r="B39" s="110"/>
      <c r="C39" s="104"/>
      <c r="D39" s="70"/>
      <c r="E39" s="70"/>
      <c r="F39" s="70"/>
      <c r="G39" s="70"/>
      <c r="H39" s="104"/>
      <c r="I39" s="70"/>
      <c r="J39" s="70"/>
      <c r="K39" s="70"/>
      <c r="L39" s="70"/>
      <c r="M39" s="70"/>
      <c r="N39" s="70"/>
      <c r="O39" s="70"/>
      <c r="P39" s="70"/>
      <c r="Q39" s="70"/>
      <c r="R39" s="70"/>
      <c r="S39" s="70"/>
      <c r="T39" s="70"/>
      <c r="U39" s="70"/>
      <c r="V39" s="70"/>
      <c r="W39" s="70"/>
      <c r="X39" s="70"/>
      <c r="Y39" s="70"/>
      <c r="Z39" s="70"/>
      <c r="AA39" s="70"/>
      <c r="AB39" s="70"/>
      <c r="AC39" s="70"/>
      <c r="AD39" s="70"/>
      <c r="AE39" s="22"/>
      <c r="AF39" s="22"/>
    </row>
    <row r="40" spans="1:32" ht="13" x14ac:dyDescent="0.3">
      <c r="A40" s="22"/>
      <c r="B40" s="108" t="s">
        <v>324</v>
      </c>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22"/>
    </row>
    <row r="41" spans="1:32" x14ac:dyDescent="0.25">
      <c r="A41" s="104"/>
      <c r="B41" s="53"/>
      <c r="C41" s="70"/>
      <c r="D41" s="53"/>
      <c r="E41" s="53"/>
      <c r="F41" s="53"/>
      <c r="G41" s="53"/>
      <c r="H41" s="53"/>
      <c r="I41" s="70"/>
      <c r="J41" s="53"/>
      <c r="K41" s="53"/>
      <c r="L41" s="53"/>
      <c r="M41" s="53"/>
      <c r="N41" s="53"/>
      <c r="O41" s="53"/>
      <c r="P41" s="70"/>
      <c r="Q41" s="70"/>
      <c r="R41" s="70"/>
      <c r="S41" s="70"/>
      <c r="T41" s="70"/>
      <c r="U41" s="70"/>
      <c r="V41" s="70"/>
      <c r="W41" s="70"/>
      <c r="X41" s="70"/>
      <c r="Y41" s="70"/>
      <c r="Z41" s="70"/>
      <c r="AA41" s="70"/>
      <c r="AB41" s="70"/>
      <c r="AC41" s="70"/>
      <c r="AD41" s="70"/>
      <c r="AE41" s="22"/>
      <c r="AF41" s="22"/>
    </row>
    <row r="42" spans="1:32" ht="26.25" customHeight="1" x14ac:dyDescent="0.3">
      <c r="A42" s="57"/>
      <c r="B42" s="104" t="s">
        <v>90</v>
      </c>
      <c r="C42" s="65"/>
      <c r="D42" s="128" t="s">
        <v>91</v>
      </c>
      <c r="E42" s="128"/>
      <c r="F42" s="129"/>
      <c r="G42" s="129"/>
      <c r="H42" s="130" t="s">
        <v>391</v>
      </c>
      <c r="I42" s="65"/>
      <c r="J42" s="128" t="s">
        <v>92</v>
      </c>
      <c r="K42" s="128"/>
      <c r="L42" s="129"/>
      <c r="M42" s="129"/>
      <c r="N42" s="129"/>
      <c r="O42" s="22"/>
      <c r="P42" s="131" t="s">
        <v>93</v>
      </c>
      <c r="Q42" s="70"/>
      <c r="R42" s="132" t="s">
        <v>444</v>
      </c>
      <c r="S42" s="89"/>
      <c r="T42" s="276">
        <f>E37+G37+J37+L37+N37+P37+S37+U37+W37+Y37+AA37+AD37</f>
        <v>427.17410002034904</v>
      </c>
      <c r="U42" s="133" t="s">
        <v>445</v>
      </c>
      <c r="V42" s="127"/>
      <c r="W42" s="127"/>
      <c r="X42" s="89"/>
      <c r="Y42" s="245">
        <f>E38+G38+J38+L38+N38+P38+S38+U38+W38+Y38+AA38+AD38</f>
        <v>5078.8044206295726</v>
      </c>
      <c r="Z42" s="132" t="s">
        <v>446</v>
      </c>
      <c r="AA42" s="127"/>
      <c r="AB42" s="124"/>
      <c r="AC42" s="89"/>
      <c r="AD42" s="246">
        <f>IF(T42&lt;=0,0,Y42/T42)</f>
        <v>11.889307943500405</v>
      </c>
      <c r="AE42" s="22"/>
      <c r="AF42" s="22"/>
    </row>
    <row r="43" spans="1:32" ht="13" x14ac:dyDescent="0.3">
      <c r="A43" s="57"/>
      <c r="B43" s="104" t="s">
        <v>94</v>
      </c>
      <c r="C43" s="65"/>
      <c r="D43" s="134" t="s">
        <v>95</v>
      </c>
      <c r="E43" s="134" t="s">
        <v>96</v>
      </c>
      <c r="F43" s="134" t="s">
        <v>97</v>
      </c>
      <c r="G43" s="134" t="s">
        <v>98</v>
      </c>
      <c r="H43" s="134" t="s">
        <v>99</v>
      </c>
      <c r="I43" s="65"/>
      <c r="J43" s="134" t="s">
        <v>95</v>
      </c>
      <c r="K43" s="134" t="s">
        <v>96</v>
      </c>
      <c r="L43" s="134" t="s">
        <v>97</v>
      </c>
      <c r="M43" s="134" t="s">
        <v>100</v>
      </c>
      <c r="N43" s="134" t="s">
        <v>101</v>
      </c>
      <c r="O43" s="134" t="s">
        <v>271</v>
      </c>
      <c r="P43" s="135" t="s">
        <v>360</v>
      </c>
      <c r="Q43" s="70"/>
      <c r="R43" s="132" t="s">
        <v>447</v>
      </c>
      <c r="S43" s="89"/>
      <c r="T43" s="276">
        <f>D37+F37+I37+K37+M37+O37+R37+T37+V37+X37+AC37</f>
        <v>1739.3524282247531</v>
      </c>
      <c r="U43" s="133" t="s">
        <v>448</v>
      </c>
      <c r="V43" s="127"/>
      <c r="W43" s="127"/>
      <c r="X43" s="89"/>
      <c r="Y43" s="245">
        <f>D38+F38+I38+K38+M38+O38+R38+T38+V38+X38+AC38</f>
        <v>58028.610234782122</v>
      </c>
      <c r="Z43" s="132" t="s">
        <v>449</v>
      </c>
      <c r="AA43" s="127"/>
      <c r="AB43" s="124"/>
      <c r="AC43" s="89"/>
      <c r="AD43" s="246">
        <f>IF(T43&lt;=0,0,Y43/T43)</f>
        <v>33.362192326950236</v>
      </c>
      <c r="AE43" s="22"/>
      <c r="AF43" s="22"/>
    </row>
    <row r="44" spans="1:32" ht="13" thickBot="1" x14ac:dyDescent="0.3">
      <c r="A44" s="104"/>
      <c r="B44" s="83"/>
      <c r="C44" s="70"/>
      <c r="D44" s="83"/>
      <c r="E44" s="83"/>
      <c r="F44" s="83"/>
      <c r="G44" s="83"/>
      <c r="H44" s="83"/>
      <c r="I44" s="70"/>
      <c r="J44" s="83"/>
      <c r="K44" s="83"/>
      <c r="L44" s="83"/>
      <c r="M44" s="83"/>
      <c r="N44" s="83"/>
      <c r="O44" s="83"/>
      <c r="P44" s="136"/>
      <c r="Q44" s="70"/>
      <c r="R44" s="132" t="s">
        <v>450</v>
      </c>
      <c r="S44" s="89"/>
      <c r="T44" s="277">
        <f>T42+T43</f>
        <v>2166.5265282451023</v>
      </c>
      <c r="U44" s="133" t="s">
        <v>451</v>
      </c>
      <c r="V44" s="127"/>
      <c r="W44" s="127"/>
      <c r="X44" s="89"/>
      <c r="Y44" s="247">
        <f>Y42+Y43</f>
        <v>63107.414655411696</v>
      </c>
      <c r="Z44" s="132" t="s">
        <v>452</v>
      </c>
      <c r="AA44" s="127"/>
      <c r="AB44" s="124"/>
      <c r="AC44" s="89"/>
      <c r="AD44" s="248">
        <f>IF(T44&lt;=0,0,Y44/T44)</f>
        <v>29.128383074325441</v>
      </c>
      <c r="AE44" s="22"/>
      <c r="AF44" s="390">
        <f>(AF35++Prices!P50)/Prices!R50</f>
        <v>0.57105124738041801</v>
      </c>
    </row>
    <row r="45" spans="1:32" ht="13" thickTop="1" x14ac:dyDescent="0.25">
      <c r="A45" s="57"/>
      <c r="B45" s="104" t="s">
        <v>241</v>
      </c>
      <c r="C45" s="65"/>
      <c r="D45" s="237">
        <f>D35</f>
        <v>39.33</v>
      </c>
      <c r="E45" s="237">
        <f>I35</f>
        <v>24.29</v>
      </c>
      <c r="F45" s="237">
        <f>K35</f>
        <v>35.270000000000003</v>
      </c>
      <c r="G45" s="237">
        <f>M35</f>
        <v>35.270000000000003</v>
      </c>
      <c r="H45" s="237">
        <f>O35</f>
        <v>6</v>
      </c>
      <c r="I45" s="137"/>
      <c r="J45" s="237">
        <f>F35</f>
        <v>39.33</v>
      </c>
      <c r="K45" s="237">
        <f>R35</f>
        <v>24.29</v>
      </c>
      <c r="L45" s="237">
        <f>T35</f>
        <v>24.29</v>
      </c>
      <c r="M45" s="237">
        <f>V35</f>
        <v>8.33</v>
      </c>
      <c r="N45" s="237">
        <f>X35</f>
        <v>0</v>
      </c>
      <c r="O45" s="249" t="str">
        <f>Z35</f>
        <v>na</v>
      </c>
      <c r="P45" s="250">
        <f>AC35</f>
        <v>41</v>
      </c>
      <c r="Q45" s="70"/>
      <c r="R45" s="70"/>
      <c r="S45" s="70"/>
      <c r="T45" s="70"/>
      <c r="U45" s="70"/>
      <c r="V45" s="70"/>
      <c r="W45" s="70"/>
      <c r="X45" s="70"/>
      <c r="Y45" s="70"/>
      <c r="Z45" s="70"/>
      <c r="AA45" s="70"/>
      <c r="AB45" s="70"/>
      <c r="AC45" s="70"/>
      <c r="AD45" s="70"/>
      <c r="AE45" s="22"/>
      <c r="AF45" s="22"/>
    </row>
    <row r="46" spans="1:32" x14ac:dyDescent="0.25">
      <c r="A46" s="104"/>
      <c r="B46" s="83"/>
      <c r="C46" s="70"/>
      <c r="D46" s="138"/>
      <c r="E46" s="138"/>
      <c r="F46" s="138"/>
      <c r="G46" s="138"/>
      <c r="H46" s="138"/>
      <c r="I46" s="139"/>
      <c r="J46" s="138"/>
      <c r="K46" s="138"/>
      <c r="L46" s="138"/>
      <c r="M46" s="138"/>
      <c r="N46" s="138"/>
      <c r="O46" s="138"/>
      <c r="P46" s="140"/>
      <c r="Q46" s="70"/>
      <c r="R46" s="70"/>
      <c r="S46" s="70"/>
      <c r="T46" s="70"/>
      <c r="U46" s="70"/>
      <c r="V46" s="70"/>
      <c r="W46" s="70"/>
      <c r="X46" s="70"/>
      <c r="Y46" s="70"/>
      <c r="Z46" s="70"/>
      <c r="AA46" s="70"/>
      <c r="AB46" s="70"/>
      <c r="AC46" s="70"/>
      <c r="AD46" s="70"/>
      <c r="AE46" s="22"/>
      <c r="AF46" s="22"/>
    </row>
    <row r="47" spans="1:32" x14ac:dyDescent="0.25">
      <c r="A47" s="57"/>
      <c r="B47" s="104" t="s">
        <v>242</v>
      </c>
      <c r="C47" s="65"/>
      <c r="D47" s="237">
        <f>E35</f>
        <v>13</v>
      </c>
      <c r="E47" s="237">
        <f>J35</f>
        <v>11.83</v>
      </c>
      <c r="F47" s="237">
        <f>L35</f>
        <v>15.33</v>
      </c>
      <c r="G47" s="237">
        <f>N35</f>
        <v>15.33</v>
      </c>
      <c r="H47" s="237">
        <f>P35</f>
        <v>5</v>
      </c>
      <c r="I47" s="137"/>
      <c r="J47" s="237">
        <f>G35</f>
        <v>13</v>
      </c>
      <c r="K47" s="237">
        <f>S35</f>
        <v>8.33</v>
      </c>
      <c r="L47" s="237">
        <f>U35</f>
        <v>8.33</v>
      </c>
      <c r="M47" s="237">
        <f>W35</f>
        <v>8.33</v>
      </c>
      <c r="N47" s="237">
        <f>Y35</f>
        <v>0</v>
      </c>
      <c r="O47" s="237">
        <f>AA35</f>
        <v>0</v>
      </c>
      <c r="P47" s="251">
        <f>AD35</f>
        <v>30</v>
      </c>
      <c r="Q47" s="70"/>
      <c r="R47" s="70"/>
      <c r="S47" s="70"/>
      <c r="T47" s="70"/>
      <c r="U47" s="70"/>
      <c r="V47" s="70"/>
      <c r="W47" s="70"/>
      <c r="X47" s="70"/>
      <c r="Y47" s="70"/>
      <c r="Z47" s="70"/>
      <c r="AA47" s="70"/>
      <c r="AB47" s="70"/>
      <c r="AC47" s="70"/>
      <c r="AD47" s="70"/>
      <c r="AE47" s="22"/>
      <c r="AF47" s="22"/>
    </row>
    <row r="48" spans="1:32" x14ac:dyDescent="0.25">
      <c r="A48" s="104"/>
      <c r="B48" s="69"/>
      <c r="C48" s="70"/>
      <c r="D48" s="69"/>
      <c r="E48" s="69"/>
      <c r="F48" s="69"/>
      <c r="G48" s="69"/>
      <c r="H48" s="69"/>
      <c r="I48" s="70"/>
      <c r="J48" s="69"/>
      <c r="K48" s="69"/>
      <c r="L48" s="69"/>
      <c r="M48" s="69"/>
      <c r="N48" s="69"/>
      <c r="O48" s="69"/>
      <c r="P48" s="70"/>
      <c r="Q48" s="70"/>
      <c r="R48" s="70"/>
      <c r="S48" s="70"/>
      <c r="T48" s="70"/>
      <c r="U48" s="70"/>
      <c r="V48" s="70"/>
      <c r="W48" s="70"/>
      <c r="X48" s="70"/>
      <c r="Y48" s="70"/>
      <c r="Z48" s="70"/>
      <c r="AA48" s="70"/>
      <c r="AB48" s="70"/>
      <c r="AC48" s="70"/>
      <c r="AD48" s="70"/>
      <c r="AE48" s="22"/>
      <c r="AF48" s="22"/>
    </row>
    <row r="49" spans="1:32" ht="13" x14ac:dyDescent="0.3">
      <c r="A49" s="104"/>
      <c r="B49" s="141"/>
      <c r="C49" s="139"/>
      <c r="D49" s="141"/>
      <c r="E49" s="141"/>
      <c r="F49" s="141"/>
      <c r="G49" s="70"/>
      <c r="H49" s="104"/>
      <c r="I49" s="142"/>
      <c r="J49" s="70"/>
      <c r="K49" s="70"/>
      <c r="L49" s="70"/>
      <c r="M49" s="70"/>
      <c r="N49" s="70"/>
      <c r="O49" s="70"/>
      <c r="P49" s="70"/>
      <c r="Q49" s="70"/>
      <c r="R49" s="70"/>
      <c r="S49" s="70"/>
      <c r="T49" s="70"/>
      <c r="U49" s="70"/>
      <c r="V49" s="70"/>
      <c r="W49" s="70"/>
      <c r="X49" s="70"/>
      <c r="Y49" s="70"/>
      <c r="Z49" s="70"/>
      <c r="AA49" s="70"/>
      <c r="AB49" s="70"/>
      <c r="AC49" s="70"/>
      <c r="AD49" s="70"/>
      <c r="AE49" s="22"/>
      <c r="AF49" s="22"/>
    </row>
    <row r="50" spans="1:32" x14ac:dyDescent="0.25">
      <c r="A50" s="104"/>
      <c r="B50" s="70"/>
      <c r="C50" s="70"/>
      <c r="D50" s="70"/>
      <c r="E50" s="70"/>
      <c r="F50" s="70"/>
      <c r="G50" s="70"/>
      <c r="H50" s="104"/>
      <c r="I50" s="70"/>
      <c r="J50" s="70"/>
      <c r="K50" s="70"/>
      <c r="L50" s="70"/>
      <c r="M50" s="70"/>
      <c r="N50" s="70"/>
      <c r="O50" s="70"/>
      <c r="P50" s="70"/>
      <c r="Q50" s="70"/>
      <c r="R50" s="70"/>
      <c r="S50" s="70"/>
      <c r="T50" s="70"/>
      <c r="U50" s="70"/>
      <c r="V50" s="70"/>
      <c r="W50" s="70"/>
      <c r="X50" s="70"/>
      <c r="Y50" s="70"/>
      <c r="Z50" s="70"/>
      <c r="AA50" s="70"/>
      <c r="AB50" s="70"/>
      <c r="AC50" s="70"/>
      <c r="AD50" s="70"/>
      <c r="AE50" s="22"/>
      <c r="AF50" s="22"/>
    </row>
    <row r="51" spans="1:32" ht="13" x14ac:dyDescent="0.3">
      <c r="A51" s="104"/>
      <c r="B51" s="142" t="s">
        <v>243</v>
      </c>
      <c r="C51" s="109" t="s">
        <v>317</v>
      </c>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22"/>
      <c r="AF51" s="22"/>
    </row>
    <row r="52" spans="1:32" ht="13" x14ac:dyDescent="0.3">
      <c r="A52" s="104"/>
      <c r="B52" s="104"/>
      <c r="C52" s="142" t="s">
        <v>244</v>
      </c>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22"/>
      <c r="AF52" s="22"/>
    </row>
    <row r="53" spans="1:32" ht="13" x14ac:dyDescent="0.3">
      <c r="A53" s="104"/>
      <c r="B53" s="104"/>
      <c r="C53" s="142" t="s">
        <v>245</v>
      </c>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22"/>
      <c r="AF53" s="22"/>
    </row>
    <row r="54" spans="1:32" ht="13" x14ac:dyDescent="0.3">
      <c r="A54" s="104"/>
      <c r="B54" s="104"/>
      <c r="C54" s="142" t="s">
        <v>246</v>
      </c>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22"/>
      <c r="AF54" s="22"/>
    </row>
    <row r="55" spans="1:32" x14ac:dyDescent="0.2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row>
    <row r="56" spans="1:32" ht="13" x14ac:dyDescent="0.3">
      <c r="A56" s="22"/>
      <c r="B56" s="20" t="s">
        <v>300</v>
      </c>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row>
    <row r="57" spans="1:32" ht="13" x14ac:dyDescent="0.3">
      <c r="A57" s="22"/>
      <c r="B57" s="195" t="str">
        <f>""</f>
        <v/>
      </c>
      <c r="C57" s="143"/>
      <c r="D57" s="143"/>
      <c r="E57" s="143"/>
      <c r="F57" s="143"/>
      <c r="G57" s="143"/>
      <c r="H57" s="143"/>
      <c r="I57" s="143"/>
      <c r="J57" s="143"/>
      <c r="K57" s="143"/>
      <c r="L57" s="143"/>
      <c r="M57" s="143"/>
      <c r="N57" s="143"/>
      <c r="O57" s="143"/>
      <c r="P57" s="144"/>
      <c r="Q57" s="22"/>
      <c r="R57" s="22"/>
      <c r="S57" s="22"/>
      <c r="T57" s="22"/>
      <c r="U57" s="22"/>
      <c r="V57" s="22"/>
      <c r="W57" s="22"/>
      <c r="X57" s="22"/>
      <c r="Y57" s="22"/>
      <c r="Z57" s="22"/>
      <c r="AA57" s="22"/>
      <c r="AB57" s="22"/>
      <c r="AC57" s="22"/>
      <c r="AD57" s="22"/>
      <c r="AE57" s="22"/>
      <c r="AF57" s="22"/>
    </row>
    <row r="58" spans="1:32" ht="13" x14ac:dyDescent="0.3">
      <c r="A58" s="22"/>
      <c r="B58" s="196" t="str">
        <f>""</f>
        <v/>
      </c>
      <c r="C58" s="145"/>
      <c r="D58" s="145"/>
      <c r="E58" s="145"/>
      <c r="F58" s="145"/>
      <c r="G58" s="145"/>
      <c r="H58" s="145"/>
      <c r="I58" s="145"/>
      <c r="J58" s="145"/>
      <c r="K58" s="145"/>
      <c r="L58" s="145"/>
      <c r="M58" s="145"/>
      <c r="N58" s="145"/>
      <c r="O58" s="145"/>
      <c r="P58" s="146"/>
      <c r="Q58" s="22"/>
      <c r="R58" s="22"/>
      <c r="S58" s="22"/>
      <c r="T58" s="22"/>
      <c r="U58" s="22"/>
      <c r="V58" s="22"/>
      <c r="W58" s="22"/>
      <c r="X58" s="22"/>
      <c r="Y58" s="22"/>
      <c r="Z58" s="22"/>
      <c r="AA58" s="22"/>
      <c r="AB58" s="22"/>
      <c r="AC58" s="22"/>
      <c r="AD58" s="22"/>
      <c r="AE58" s="22"/>
      <c r="AF58" s="22"/>
    </row>
    <row r="59" spans="1:32" ht="13" x14ac:dyDescent="0.3">
      <c r="A59" s="22"/>
      <c r="B59" s="196" t="str">
        <f>""</f>
        <v/>
      </c>
      <c r="C59" s="145"/>
      <c r="D59" s="145"/>
      <c r="E59" s="145"/>
      <c r="F59" s="145"/>
      <c r="G59" s="145"/>
      <c r="H59" s="145"/>
      <c r="I59" s="145"/>
      <c r="J59" s="145"/>
      <c r="K59" s="145"/>
      <c r="L59" s="145"/>
      <c r="M59" s="145"/>
      <c r="N59" s="145"/>
      <c r="O59" s="145"/>
      <c r="P59" s="146"/>
      <c r="Q59" s="22"/>
      <c r="R59" s="22"/>
      <c r="S59" s="22"/>
      <c r="T59" s="22"/>
      <c r="U59" s="22"/>
      <c r="V59" s="22"/>
      <c r="W59" s="22"/>
      <c r="X59" s="22"/>
      <c r="Y59" s="22"/>
      <c r="Z59" s="22"/>
      <c r="AA59" s="22"/>
      <c r="AB59" s="22"/>
      <c r="AC59" s="22"/>
      <c r="AD59" s="22"/>
      <c r="AE59" s="22"/>
      <c r="AF59" s="22"/>
    </row>
    <row r="60" spans="1:32" ht="13" x14ac:dyDescent="0.3">
      <c r="A60" s="22"/>
      <c r="B60" s="196" t="str">
        <f>""</f>
        <v/>
      </c>
      <c r="C60" s="145"/>
      <c r="D60" s="145"/>
      <c r="E60" s="145"/>
      <c r="F60" s="145"/>
      <c r="G60" s="145"/>
      <c r="H60" s="145"/>
      <c r="I60" s="145"/>
      <c r="J60" s="145"/>
      <c r="K60" s="145"/>
      <c r="L60" s="145"/>
      <c r="M60" s="145"/>
      <c r="N60" s="145"/>
      <c r="O60" s="145"/>
      <c r="P60" s="146"/>
      <c r="Q60" s="22"/>
      <c r="R60" s="22"/>
      <c r="S60" s="22"/>
      <c r="T60" s="22"/>
      <c r="U60" s="22"/>
      <c r="V60" s="22"/>
      <c r="W60" s="22"/>
      <c r="X60" s="22"/>
      <c r="Y60" s="22"/>
      <c r="Z60" s="22"/>
      <c r="AA60" s="22"/>
      <c r="AB60" s="22"/>
      <c r="AC60" s="22"/>
      <c r="AD60" s="22"/>
      <c r="AE60" s="22"/>
      <c r="AF60" s="22"/>
    </row>
    <row r="61" spans="1:32" ht="13" x14ac:dyDescent="0.3">
      <c r="A61" s="22"/>
      <c r="B61" s="363" t="s">
        <v>530</v>
      </c>
      <c r="C61" s="362"/>
      <c r="D61" s="362"/>
      <c r="E61" s="362"/>
      <c r="F61" s="362"/>
      <c r="G61" s="362"/>
      <c r="H61" s="362"/>
      <c r="I61" s="145"/>
      <c r="J61" s="145"/>
      <c r="K61" s="145"/>
      <c r="L61" s="145"/>
      <c r="M61" s="145"/>
      <c r="N61" s="145"/>
      <c r="O61" s="145"/>
      <c r="P61" s="146"/>
      <c r="Q61" s="22"/>
      <c r="R61" s="22"/>
      <c r="S61" s="22"/>
      <c r="T61" s="22"/>
      <c r="U61" s="22"/>
      <c r="V61" s="22"/>
      <c r="W61" s="22"/>
      <c r="X61" s="22"/>
      <c r="Y61" s="22"/>
      <c r="Z61" s="22"/>
      <c r="AA61" s="22"/>
      <c r="AB61" s="22"/>
      <c r="AC61" s="22"/>
      <c r="AD61" s="22"/>
      <c r="AE61" s="22"/>
      <c r="AF61" s="22"/>
    </row>
    <row r="62" spans="1:32" ht="13" x14ac:dyDescent="0.3">
      <c r="A62" s="22"/>
      <c r="B62" s="364" t="s">
        <v>531</v>
      </c>
      <c r="C62" s="362" t="s">
        <v>546</v>
      </c>
      <c r="E62" s="362" t="s">
        <v>547</v>
      </c>
      <c r="G62" s="327" t="s">
        <v>545</v>
      </c>
      <c r="I62" s="327" t="s">
        <v>532</v>
      </c>
      <c r="K62" s="362" t="s">
        <v>544</v>
      </c>
      <c r="M62" s="327" t="s">
        <v>533</v>
      </c>
      <c r="N62" s="145"/>
      <c r="O62" s="145"/>
      <c r="P62" s="146"/>
      <c r="Q62" s="22"/>
      <c r="R62" s="22"/>
      <c r="S62" s="22"/>
      <c r="T62" s="22"/>
      <c r="U62" s="22"/>
      <c r="V62" s="22"/>
      <c r="W62" s="22"/>
      <c r="X62" s="22"/>
      <c r="Y62" s="22"/>
      <c r="Z62" s="22"/>
      <c r="AA62" s="22"/>
      <c r="AB62" s="22"/>
      <c r="AC62" s="22"/>
      <c r="AD62" s="22"/>
      <c r="AE62" s="22"/>
      <c r="AF62" s="22"/>
    </row>
    <row r="63" spans="1:32" x14ac:dyDescent="0.25">
      <c r="A63" s="22"/>
      <c r="B63" s="365" t="s">
        <v>534</v>
      </c>
      <c r="C63" s="366">
        <v>610</v>
      </c>
      <c r="E63" s="367">
        <v>300</v>
      </c>
      <c r="G63" s="367">
        <v>120</v>
      </c>
      <c r="I63" s="368">
        <f t="shared" ref="I63:I75" si="6">C63/1000/1000*E63*G63</f>
        <v>21.96</v>
      </c>
      <c r="K63" s="369">
        <f t="shared" ref="K63:K75" si="7">C63/1000/1000*E63</f>
        <v>0.183</v>
      </c>
      <c r="M63" s="362"/>
      <c r="N63" s="145"/>
      <c r="O63" s="145"/>
      <c r="P63" s="146"/>
      <c r="Q63" s="22"/>
      <c r="R63" s="22"/>
      <c r="S63" s="22"/>
      <c r="T63" s="22"/>
      <c r="U63" s="22"/>
      <c r="V63" s="22"/>
      <c r="W63" s="22"/>
      <c r="X63" s="22"/>
      <c r="Y63" s="22"/>
      <c r="Z63" s="22"/>
      <c r="AA63" s="22"/>
      <c r="AB63" s="22"/>
      <c r="AC63" s="22"/>
      <c r="AD63" s="22"/>
      <c r="AE63" s="22"/>
      <c r="AF63" s="22"/>
    </row>
    <row r="64" spans="1:32" x14ac:dyDescent="0.25">
      <c r="A64" s="22"/>
      <c r="B64" s="323" t="s">
        <v>535</v>
      </c>
      <c r="C64" s="366">
        <v>800</v>
      </c>
      <c r="E64" s="367">
        <v>20</v>
      </c>
      <c r="G64" s="367">
        <v>140</v>
      </c>
      <c r="I64" s="368">
        <f t="shared" si="6"/>
        <v>2.2400000000000002</v>
      </c>
      <c r="K64" s="368">
        <f t="shared" si="7"/>
        <v>1.6E-2</v>
      </c>
      <c r="M64" s="362">
        <f>E64*0.08</f>
        <v>1.6</v>
      </c>
      <c r="N64" s="145"/>
      <c r="O64" s="145"/>
      <c r="P64" s="146"/>
      <c r="Q64" s="22"/>
      <c r="R64" s="22"/>
      <c r="S64" s="22"/>
      <c r="T64" s="22"/>
      <c r="U64" s="22"/>
      <c r="V64" s="22"/>
      <c r="W64" s="22"/>
      <c r="X64" s="22"/>
      <c r="Y64" s="22"/>
      <c r="Z64" s="22"/>
      <c r="AA64" s="22"/>
      <c r="AB64" s="22"/>
      <c r="AC64" s="22"/>
      <c r="AD64" s="22"/>
      <c r="AE64" s="22"/>
      <c r="AF64" s="22"/>
    </row>
    <row r="65" spans="1:32" x14ac:dyDescent="0.25">
      <c r="A65" s="22"/>
      <c r="B65" s="323" t="s">
        <v>536</v>
      </c>
      <c r="C65" s="366">
        <v>800</v>
      </c>
      <c r="E65" s="367">
        <v>40</v>
      </c>
      <c r="G65" s="367">
        <v>140</v>
      </c>
      <c r="I65" s="368">
        <f t="shared" si="6"/>
        <v>4.4800000000000004</v>
      </c>
      <c r="K65" s="368">
        <f t="shared" si="7"/>
        <v>3.2000000000000001E-2</v>
      </c>
      <c r="M65" s="362">
        <f>E65*0.08</f>
        <v>3.2</v>
      </c>
      <c r="N65" s="145"/>
      <c r="O65" s="145"/>
      <c r="P65" s="146"/>
      <c r="Q65" s="22"/>
      <c r="R65" s="22"/>
      <c r="S65" s="22"/>
      <c r="T65" s="22"/>
      <c r="U65" s="22"/>
      <c r="V65" s="22"/>
      <c r="W65" s="22"/>
      <c r="X65" s="22"/>
      <c r="Y65" s="22"/>
      <c r="Z65" s="22"/>
      <c r="AA65" s="22"/>
      <c r="AB65" s="22"/>
      <c r="AC65" s="22"/>
      <c r="AD65" s="22"/>
      <c r="AE65" s="22"/>
      <c r="AF65" s="22"/>
    </row>
    <row r="66" spans="1:32" x14ac:dyDescent="0.25">
      <c r="A66" s="22"/>
      <c r="B66" s="323" t="s">
        <v>537</v>
      </c>
      <c r="C66" s="366">
        <v>800</v>
      </c>
      <c r="E66" s="367">
        <v>60</v>
      </c>
      <c r="G66" s="367">
        <v>140</v>
      </c>
      <c r="I66" s="368">
        <f t="shared" si="6"/>
        <v>6.72</v>
      </c>
      <c r="K66" s="368">
        <f t="shared" si="7"/>
        <v>4.8000000000000001E-2</v>
      </c>
      <c r="M66" s="362">
        <f>E66*0.08</f>
        <v>4.8</v>
      </c>
      <c r="N66" s="145"/>
      <c r="O66" s="145"/>
      <c r="P66" s="146"/>
      <c r="Q66" s="22"/>
      <c r="R66" s="22"/>
      <c r="S66" s="22"/>
      <c r="T66" s="22"/>
      <c r="U66" s="22"/>
      <c r="V66" s="22"/>
      <c r="W66" s="22"/>
      <c r="X66" s="22"/>
      <c r="Y66" s="22"/>
      <c r="Z66" s="22"/>
      <c r="AA66" s="22"/>
      <c r="AB66" s="22"/>
      <c r="AC66" s="22"/>
      <c r="AD66" s="22"/>
      <c r="AE66" s="22"/>
      <c r="AF66" s="22"/>
    </row>
    <row r="67" spans="1:32" x14ac:dyDescent="0.25">
      <c r="A67" s="22"/>
      <c r="B67" s="323"/>
      <c r="C67" s="366"/>
      <c r="E67" s="367"/>
      <c r="G67" s="367"/>
      <c r="I67" s="368">
        <f t="shared" si="6"/>
        <v>0</v>
      </c>
      <c r="K67" s="368">
        <f t="shared" si="7"/>
        <v>0</v>
      </c>
      <c r="M67" s="362"/>
      <c r="N67" s="145"/>
      <c r="O67" s="145"/>
      <c r="P67" s="146"/>
      <c r="Q67" s="22"/>
      <c r="R67" s="22"/>
      <c r="S67" s="22"/>
      <c r="T67" s="22"/>
      <c r="U67" s="22"/>
      <c r="V67" s="22"/>
      <c r="W67" s="22"/>
      <c r="X67" s="22"/>
      <c r="Y67" s="22"/>
      <c r="Z67" s="22"/>
      <c r="AA67" s="22"/>
      <c r="AB67" s="22"/>
      <c r="AC67" s="22"/>
      <c r="AD67" s="22"/>
      <c r="AE67" s="22"/>
      <c r="AF67" s="22"/>
    </row>
    <row r="68" spans="1:32" x14ac:dyDescent="0.25">
      <c r="A68" s="22"/>
      <c r="B68" s="365" t="s">
        <v>538</v>
      </c>
      <c r="C68" s="366">
        <v>680</v>
      </c>
      <c r="E68" s="367">
        <v>100</v>
      </c>
      <c r="G68" s="367">
        <v>220</v>
      </c>
      <c r="I68" s="368">
        <f t="shared" si="6"/>
        <v>14.96</v>
      </c>
      <c r="K68" s="368">
        <f t="shared" si="7"/>
        <v>6.8000000000000005E-2</v>
      </c>
      <c r="M68" s="362"/>
      <c r="N68" s="145"/>
      <c r="O68" s="145"/>
      <c r="P68" s="146"/>
      <c r="Q68" s="22"/>
      <c r="R68" s="22"/>
      <c r="S68" s="22"/>
      <c r="T68" s="22"/>
      <c r="U68" s="22"/>
      <c r="V68" s="22"/>
      <c r="W68" s="22"/>
      <c r="X68" s="22"/>
      <c r="Y68" s="22"/>
      <c r="Z68" s="22"/>
      <c r="AA68" s="22"/>
      <c r="AB68" s="22"/>
      <c r="AC68" s="22"/>
      <c r="AD68" s="22"/>
      <c r="AE68" s="22"/>
      <c r="AF68" s="22"/>
    </row>
    <row r="69" spans="1:32" x14ac:dyDescent="0.25">
      <c r="A69" s="22"/>
      <c r="B69" s="365" t="s">
        <v>539</v>
      </c>
      <c r="C69" s="366">
        <v>680</v>
      </c>
      <c r="E69" s="367">
        <v>150</v>
      </c>
      <c r="G69" s="367">
        <v>220</v>
      </c>
      <c r="I69" s="368">
        <f t="shared" si="6"/>
        <v>22.44</v>
      </c>
      <c r="K69" s="368">
        <f t="shared" si="7"/>
        <v>0.10200000000000001</v>
      </c>
      <c r="M69" s="362"/>
      <c r="N69" s="145"/>
      <c r="O69" s="145"/>
      <c r="P69" s="146"/>
      <c r="Q69" s="22"/>
      <c r="R69" s="22"/>
      <c r="S69" s="22"/>
      <c r="T69" s="22"/>
      <c r="U69" s="22"/>
      <c r="V69" s="22"/>
      <c r="W69" s="22"/>
      <c r="X69" s="22"/>
      <c r="Y69" s="22"/>
      <c r="Z69" s="22"/>
      <c r="AA69" s="22"/>
      <c r="AB69" s="22"/>
      <c r="AC69" s="22"/>
      <c r="AD69" s="22"/>
      <c r="AE69" s="22"/>
      <c r="AF69" s="22"/>
    </row>
    <row r="70" spans="1:32" x14ac:dyDescent="0.25">
      <c r="A70" s="22"/>
      <c r="B70" s="365" t="s">
        <v>540</v>
      </c>
      <c r="C70" s="366">
        <v>680</v>
      </c>
      <c r="E70" s="367">
        <v>100</v>
      </c>
      <c r="G70" s="367">
        <v>220</v>
      </c>
      <c r="I70" s="368">
        <f t="shared" si="6"/>
        <v>14.96</v>
      </c>
      <c r="K70" s="368">
        <f t="shared" si="7"/>
        <v>6.8000000000000005E-2</v>
      </c>
      <c r="M70" s="362"/>
      <c r="N70" s="145"/>
      <c r="O70" s="145"/>
      <c r="P70" s="146"/>
      <c r="Q70" s="22"/>
      <c r="R70" s="22"/>
      <c r="S70" s="22"/>
      <c r="T70" s="22"/>
      <c r="U70" s="22"/>
      <c r="V70" s="22"/>
      <c r="W70" s="22"/>
      <c r="X70" s="22"/>
      <c r="Y70" s="22"/>
      <c r="Z70" s="22"/>
      <c r="AA70" s="22"/>
      <c r="AB70" s="22"/>
      <c r="AC70" s="22"/>
      <c r="AD70" s="22"/>
      <c r="AE70" s="22"/>
      <c r="AF70" s="22"/>
    </row>
    <row r="71" spans="1:32" x14ac:dyDescent="0.25">
      <c r="A71" s="22"/>
      <c r="B71" s="365"/>
      <c r="C71" s="366"/>
      <c r="E71" s="367"/>
      <c r="G71" s="367"/>
      <c r="I71" s="368">
        <f t="shared" si="6"/>
        <v>0</v>
      </c>
      <c r="K71" s="368">
        <f t="shared" si="7"/>
        <v>0</v>
      </c>
      <c r="M71" s="362"/>
      <c r="N71" s="145"/>
      <c r="O71" s="145"/>
      <c r="P71" s="146"/>
      <c r="Q71" s="22"/>
      <c r="R71" s="22"/>
      <c r="S71" s="22"/>
      <c r="T71" s="22"/>
      <c r="U71" s="22"/>
      <c r="V71" s="22"/>
      <c r="W71" s="22"/>
      <c r="X71" s="22"/>
      <c r="Y71" s="22"/>
      <c r="Z71" s="22"/>
      <c r="AA71" s="22"/>
      <c r="AB71" s="22"/>
      <c r="AC71" s="22"/>
      <c r="AD71" s="22"/>
      <c r="AE71" s="22"/>
      <c r="AF71" s="22"/>
    </row>
    <row r="72" spans="1:32" x14ac:dyDescent="0.25">
      <c r="A72" s="22"/>
      <c r="B72" s="323" t="s">
        <v>541</v>
      </c>
      <c r="C72" s="366">
        <f>1090+100</f>
        <v>1190</v>
      </c>
      <c r="E72" s="367">
        <v>20</v>
      </c>
      <c r="G72" s="367">
        <v>140</v>
      </c>
      <c r="I72" s="368">
        <f t="shared" si="6"/>
        <v>3.3319999999999999</v>
      </c>
      <c r="K72" s="368">
        <f t="shared" si="7"/>
        <v>2.3799999999999998E-2</v>
      </c>
      <c r="M72" s="362">
        <f>E72*0.14</f>
        <v>2.8000000000000003</v>
      </c>
      <c r="N72" s="145"/>
      <c r="O72" s="145"/>
      <c r="P72" s="146"/>
      <c r="Q72" s="22"/>
      <c r="R72" s="22"/>
      <c r="S72" s="22"/>
      <c r="T72" s="22"/>
      <c r="U72" s="22"/>
      <c r="V72" s="22"/>
      <c r="W72" s="22"/>
      <c r="X72" s="22"/>
      <c r="Y72" s="22"/>
      <c r="Z72" s="22"/>
      <c r="AA72" s="22"/>
      <c r="AB72" s="22"/>
      <c r="AC72" s="22"/>
      <c r="AD72" s="22"/>
      <c r="AE72" s="22"/>
      <c r="AF72" s="22"/>
    </row>
    <row r="73" spans="1:32" x14ac:dyDescent="0.25">
      <c r="A73" s="22"/>
      <c r="B73" s="323" t="s">
        <v>542</v>
      </c>
      <c r="C73" s="366">
        <f t="shared" ref="C73:C74" si="8">1090+100</f>
        <v>1190</v>
      </c>
      <c r="E73" s="367">
        <v>50</v>
      </c>
      <c r="G73" s="367">
        <v>140</v>
      </c>
      <c r="I73" s="368">
        <f t="shared" si="6"/>
        <v>8.3299999999999983</v>
      </c>
      <c r="K73" s="368">
        <f t="shared" si="7"/>
        <v>5.949999999999999E-2</v>
      </c>
      <c r="M73" s="362">
        <f>E73*0.14</f>
        <v>7.0000000000000009</v>
      </c>
      <c r="N73" s="145"/>
      <c r="O73" s="145"/>
      <c r="P73" s="146"/>
      <c r="Q73" s="22"/>
      <c r="R73" s="22"/>
      <c r="S73" s="22"/>
      <c r="T73" s="22"/>
      <c r="U73" s="22"/>
      <c r="V73" s="22"/>
      <c r="W73" s="22"/>
      <c r="X73" s="22"/>
      <c r="Y73" s="22"/>
      <c r="Z73" s="22"/>
      <c r="AA73" s="22"/>
      <c r="AB73" s="22"/>
      <c r="AC73" s="22"/>
      <c r="AD73" s="22"/>
      <c r="AE73" s="22"/>
      <c r="AF73" s="22"/>
    </row>
    <row r="74" spans="1:32" x14ac:dyDescent="0.25">
      <c r="A74" s="22"/>
      <c r="B74" s="323" t="s">
        <v>543</v>
      </c>
      <c r="C74" s="366">
        <f t="shared" si="8"/>
        <v>1190</v>
      </c>
      <c r="E74" s="367">
        <v>71</v>
      </c>
      <c r="G74" s="367">
        <v>140</v>
      </c>
      <c r="I74" s="368">
        <f t="shared" si="6"/>
        <v>11.8286</v>
      </c>
      <c r="K74" s="368">
        <f t="shared" si="7"/>
        <v>8.4489999999999996E-2</v>
      </c>
      <c r="M74" s="362">
        <f>E74*0.14</f>
        <v>9.9400000000000013</v>
      </c>
      <c r="N74" s="145"/>
      <c r="O74" s="145"/>
      <c r="P74" s="146"/>
      <c r="Q74" s="22"/>
      <c r="R74" s="22"/>
      <c r="S74" s="22"/>
      <c r="T74" s="22"/>
      <c r="U74" s="22"/>
      <c r="V74" s="22"/>
      <c r="W74" s="22"/>
      <c r="X74" s="22"/>
      <c r="Y74" s="22"/>
      <c r="Z74" s="22"/>
      <c r="AA74" s="22"/>
      <c r="AB74" s="22"/>
      <c r="AC74" s="22"/>
      <c r="AD74" s="22"/>
      <c r="AE74" s="22"/>
      <c r="AF74" s="22"/>
    </row>
    <row r="75" spans="1:32" x14ac:dyDescent="0.25">
      <c r="A75" s="22"/>
      <c r="B75" s="365" t="s">
        <v>557</v>
      </c>
      <c r="C75" s="366"/>
      <c r="E75" s="367"/>
      <c r="G75" s="367"/>
      <c r="I75" s="368">
        <f t="shared" si="6"/>
        <v>0</v>
      </c>
      <c r="K75" s="368">
        <f t="shared" si="7"/>
        <v>0</v>
      </c>
      <c r="M75" s="362"/>
      <c r="N75" s="145"/>
      <c r="O75" s="145"/>
      <c r="P75" s="146"/>
      <c r="Q75" s="22"/>
      <c r="R75" s="22"/>
      <c r="S75" s="22"/>
      <c r="T75" s="22"/>
      <c r="U75" s="22"/>
      <c r="V75" s="22"/>
      <c r="W75" s="22"/>
      <c r="X75" s="22"/>
      <c r="Y75" s="22"/>
      <c r="Z75" s="22"/>
      <c r="AA75" s="22"/>
      <c r="AB75" s="22"/>
      <c r="AC75" s="22"/>
      <c r="AD75" s="22"/>
      <c r="AE75" s="22"/>
      <c r="AF75" s="22"/>
    </row>
    <row r="76" spans="1:32" ht="13" x14ac:dyDescent="0.3">
      <c r="A76" s="22"/>
      <c r="B76" s="196" t="str">
        <f>""</f>
        <v/>
      </c>
      <c r="C76" s="145"/>
      <c r="D76" s="145"/>
      <c r="E76" s="145"/>
      <c r="F76" s="145"/>
      <c r="G76" s="145"/>
      <c r="H76" s="145"/>
      <c r="I76" s="145"/>
      <c r="J76" s="145"/>
      <c r="K76" s="145"/>
      <c r="L76" s="145"/>
      <c r="M76" s="145"/>
      <c r="N76" s="145"/>
      <c r="O76" s="145"/>
      <c r="P76" s="146"/>
      <c r="Q76" s="22"/>
      <c r="R76" s="22"/>
      <c r="S76" s="22"/>
      <c r="T76" s="22"/>
      <c r="U76" s="22"/>
      <c r="V76" s="22"/>
      <c r="W76" s="22"/>
      <c r="X76" s="22"/>
      <c r="Y76" s="22"/>
      <c r="Z76" s="22"/>
      <c r="AA76" s="22"/>
      <c r="AB76" s="22"/>
      <c r="AC76" s="22"/>
      <c r="AD76" s="22"/>
      <c r="AE76" s="22"/>
      <c r="AF76" s="22"/>
    </row>
    <row r="77" spans="1:32" ht="13" x14ac:dyDescent="0.3">
      <c r="A77" s="22"/>
      <c r="B77" s="196" t="str">
        <f>""</f>
        <v/>
      </c>
      <c r="C77" s="145"/>
      <c r="D77" s="145"/>
      <c r="E77" s="145"/>
      <c r="F77" s="145"/>
      <c r="G77" s="145"/>
      <c r="H77" s="145"/>
      <c r="I77" s="145"/>
      <c r="J77" s="145"/>
      <c r="K77" s="145"/>
      <c r="L77" s="145"/>
      <c r="M77" s="145"/>
      <c r="N77" s="145"/>
      <c r="O77" s="145"/>
      <c r="P77" s="146"/>
      <c r="Q77" s="22"/>
      <c r="R77" s="22"/>
      <c r="S77" s="22"/>
      <c r="T77" s="22"/>
      <c r="U77" s="22"/>
      <c r="V77" s="22"/>
      <c r="W77" s="22"/>
      <c r="X77" s="22"/>
      <c r="Y77" s="22"/>
      <c r="Z77" s="22"/>
      <c r="AA77" s="22"/>
      <c r="AB77" s="22"/>
      <c r="AC77" s="22"/>
      <c r="AD77" s="22"/>
      <c r="AE77" s="22"/>
      <c r="AF77" s="22"/>
    </row>
    <row r="78" spans="1:32" ht="13" x14ac:dyDescent="0.3">
      <c r="A78" s="22"/>
      <c r="B78" s="196" t="str">
        <f>""</f>
        <v/>
      </c>
      <c r="C78" s="145"/>
      <c r="D78" s="145"/>
      <c r="E78" s="145"/>
      <c r="F78" s="145"/>
      <c r="G78" s="145">
        <v>0</v>
      </c>
      <c r="H78" s="145"/>
      <c r="I78" s="145"/>
      <c r="J78" s="145"/>
      <c r="K78" s="145"/>
      <c r="L78" s="145"/>
      <c r="M78" s="145"/>
      <c r="N78" s="145"/>
      <c r="O78" s="145"/>
      <c r="P78" s="146"/>
      <c r="Q78" s="22"/>
      <c r="R78" s="22"/>
      <c r="S78" s="22"/>
      <c r="T78" s="22"/>
      <c r="U78" s="22"/>
      <c r="V78" s="22"/>
      <c r="W78" s="22"/>
      <c r="X78" s="22"/>
      <c r="Y78" s="22"/>
      <c r="Z78" s="22"/>
      <c r="AA78" s="22"/>
      <c r="AB78" s="22"/>
      <c r="AC78" s="22"/>
      <c r="AD78" s="22"/>
      <c r="AE78" s="22"/>
      <c r="AF78" s="22"/>
    </row>
    <row r="79" spans="1:32" ht="13" x14ac:dyDescent="0.3">
      <c r="A79" s="22"/>
      <c r="B79" s="196" t="str">
        <f>""</f>
        <v/>
      </c>
      <c r="C79" s="145"/>
      <c r="D79" s="145"/>
      <c r="E79" s="145"/>
      <c r="F79" s="145"/>
      <c r="G79" s="145"/>
      <c r="H79" s="145"/>
      <c r="I79" s="145"/>
      <c r="J79" s="145"/>
      <c r="K79" s="145"/>
      <c r="L79" s="145"/>
      <c r="M79" s="145"/>
      <c r="N79" s="145"/>
      <c r="O79" s="145"/>
      <c r="P79" s="146"/>
      <c r="Q79" s="22"/>
      <c r="R79" s="22"/>
      <c r="S79" s="22"/>
      <c r="T79" s="22"/>
      <c r="U79" s="22"/>
      <c r="V79" s="22"/>
      <c r="W79" s="22"/>
      <c r="X79" s="22"/>
      <c r="Y79" s="22"/>
      <c r="Z79" s="22"/>
      <c r="AA79" s="22"/>
      <c r="AB79" s="22"/>
      <c r="AC79" s="22"/>
      <c r="AD79" s="22"/>
      <c r="AE79" s="22"/>
      <c r="AF79" s="22"/>
    </row>
    <row r="80" spans="1:32" ht="13" x14ac:dyDescent="0.3">
      <c r="A80" s="22"/>
      <c r="B80" s="196" t="str">
        <f>""</f>
        <v/>
      </c>
      <c r="C80" s="145"/>
      <c r="D80" s="145"/>
      <c r="E80" s="145"/>
      <c r="F80" s="145"/>
      <c r="G80" s="145"/>
      <c r="H80" s="145"/>
      <c r="I80" s="145"/>
      <c r="J80" s="145"/>
      <c r="K80" s="145"/>
      <c r="L80" s="145"/>
      <c r="M80" s="145"/>
      <c r="N80" s="145"/>
      <c r="O80" s="145"/>
      <c r="P80" s="146"/>
      <c r="Q80" s="22"/>
      <c r="R80" s="22"/>
      <c r="S80" s="22"/>
      <c r="T80" s="22"/>
      <c r="U80" s="22"/>
      <c r="V80" s="22"/>
      <c r="W80" s="22"/>
      <c r="X80" s="22"/>
      <c r="Y80" s="22"/>
      <c r="Z80" s="22"/>
      <c r="AA80" s="22"/>
      <c r="AB80" s="22"/>
      <c r="AC80" s="22"/>
      <c r="AD80" s="22"/>
      <c r="AE80" s="22"/>
      <c r="AF80" s="22"/>
    </row>
    <row r="81" spans="1:32" ht="13" x14ac:dyDescent="0.3">
      <c r="A81" s="22"/>
      <c r="B81" s="196" t="str">
        <f>""</f>
        <v/>
      </c>
      <c r="C81" s="145"/>
      <c r="D81" s="145"/>
      <c r="E81" s="145"/>
      <c r="F81" s="145"/>
      <c r="G81" s="145"/>
      <c r="H81" s="145"/>
      <c r="I81" s="145"/>
      <c r="J81" s="145"/>
      <c r="K81" s="145"/>
      <c r="L81" s="145"/>
      <c r="M81" s="145"/>
      <c r="N81" s="145"/>
      <c r="O81" s="145"/>
      <c r="P81" s="146"/>
      <c r="Q81" s="22"/>
      <c r="R81" s="22"/>
      <c r="S81" s="22"/>
      <c r="T81" s="22"/>
      <c r="U81" s="22"/>
      <c r="V81" s="22"/>
      <c r="W81" s="22"/>
      <c r="X81" s="22"/>
      <c r="Y81" s="22"/>
      <c r="Z81" s="22"/>
      <c r="AA81" s="22"/>
      <c r="AB81" s="22"/>
      <c r="AC81" s="22"/>
      <c r="AD81" s="22"/>
      <c r="AE81" s="22"/>
      <c r="AF81" s="22"/>
    </row>
    <row r="82" spans="1:32" ht="13.5" thickBot="1" x14ac:dyDescent="0.35">
      <c r="A82" s="22"/>
      <c r="B82" s="197" t="str">
        <f>""</f>
        <v/>
      </c>
      <c r="C82" s="147"/>
      <c r="D82" s="147"/>
      <c r="E82" s="147"/>
      <c r="F82" s="147"/>
      <c r="G82" s="147"/>
      <c r="H82" s="147"/>
      <c r="I82" s="147"/>
      <c r="J82" s="147"/>
      <c r="K82" s="147"/>
      <c r="L82" s="147"/>
      <c r="M82" s="147"/>
      <c r="N82" s="147"/>
      <c r="O82" s="147"/>
      <c r="P82" s="148"/>
      <c r="Q82" s="22"/>
      <c r="R82" s="22"/>
      <c r="S82" s="22"/>
      <c r="T82" s="22"/>
      <c r="U82" s="22"/>
      <c r="V82" s="22"/>
      <c r="W82" s="22"/>
      <c r="X82" s="22"/>
      <c r="Y82" s="22"/>
      <c r="Z82" s="22"/>
      <c r="AA82" s="22"/>
      <c r="AB82" s="22"/>
      <c r="AC82" s="22"/>
      <c r="AD82" s="22"/>
      <c r="AE82" s="22"/>
      <c r="AF82" s="22"/>
    </row>
    <row r="83" spans="1:32" ht="13.5" thickTop="1" x14ac:dyDescent="0.3">
      <c r="A83" s="22"/>
      <c r="B83" s="50" t="s">
        <v>313</v>
      </c>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row>
  </sheetData>
  <phoneticPr fontId="0" type="noConversion"/>
  <pageMargins left="1.036" right="1.036" top="1.036" bottom="1.036" header="0.5" footer="0.5"/>
  <pageSetup paperSize="9" orientation="portrait" r:id="rId1"/>
  <headerFooter alignWithMargins="0"/>
  <ignoredErrors>
    <ignoredError sqref="E37:F37 T3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dimension ref="B1:U214"/>
  <sheetViews>
    <sheetView showGridLines="0" tabSelected="1" zoomScaleNormal="100" workbookViewId="0">
      <selection activeCell="F4" sqref="F4"/>
    </sheetView>
  </sheetViews>
  <sheetFormatPr defaultColWidth="9.6328125" defaultRowHeight="12.5" x14ac:dyDescent="0.25"/>
  <cols>
    <col min="1" max="1" width="1.6328125" customWidth="1"/>
    <col min="2" max="2" width="16.54296875" customWidth="1"/>
    <col min="3" max="3" width="15.36328125" customWidth="1"/>
    <col min="4" max="4" width="14.08984375" customWidth="1"/>
    <col min="5" max="5" width="15.90625" customWidth="1"/>
    <col min="6" max="6" width="13.36328125" customWidth="1"/>
    <col min="7" max="7" width="13.54296875" customWidth="1"/>
    <col min="8" max="8" width="14.6328125" customWidth="1"/>
    <col min="9" max="9" width="13.90625" customWidth="1"/>
    <col min="10" max="13" width="11.6328125" customWidth="1"/>
    <col min="14" max="14" width="13.54296875" customWidth="1"/>
    <col min="15" max="15" width="15.54296875" customWidth="1"/>
    <col min="16" max="18" width="11.6328125" customWidth="1"/>
  </cols>
  <sheetData>
    <row r="1" spans="2:20" ht="13" x14ac:dyDescent="0.3">
      <c r="B1" s="149" t="s">
        <v>456</v>
      </c>
      <c r="C1" s="22"/>
      <c r="D1" s="22"/>
      <c r="E1" s="22"/>
      <c r="F1" s="22"/>
      <c r="G1" s="72" t="s">
        <v>224</v>
      </c>
      <c r="H1" s="320" t="str">
        <f>AECalc!H1</f>
        <v>NQ Gulf Example herd</v>
      </c>
      <c r="I1" s="15"/>
      <c r="J1" s="15"/>
      <c r="K1" s="15"/>
      <c r="L1" s="15"/>
      <c r="M1" s="15"/>
      <c r="N1" s="15"/>
      <c r="O1" s="15"/>
      <c r="P1" s="15"/>
      <c r="Q1" s="15"/>
      <c r="R1" s="22"/>
      <c r="S1" s="22"/>
      <c r="T1" s="22"/>
    </row>
    <row r="2" spans="2:20" ht="13" x14ac:dyDescent="0.3">
      <c r="B2" s="22"/>
      <c r="C2" s="22"/>
      <c r="D2" s="22"/>
      <c r="E2" s="22"/>
      <c r="F2" s="22"/>
      <c r="G2" s="72" t="s">
        <v>225</v>
      </c>
      <c r="H2" s="321">
        <f>Huscosts!H2</f>
        <v>43502</v>
      </c>
      <c r="I2" s="15"/>
      <c r="J2" s="15"/>
      <c r="K2" s="15"/>
      <c r="L2" s="15"/>
      <c r="M2" s="15"/>
      <c r="N2" s="15"/>
      <c r="O2" s="15"/>
      <c r="P2" s="15"/>
      <c r="Q2" s="15"/>
      <c r="R2" s="22"/>
      <c r="S2" s="22"/>
      <c r="T2" s="22"/>
    </row>
    <row r="3" spans="2:20" ht="13" x14ac:dyDescent="0.3">
      <c r="B3" s="39" t="s">
        <v>314</v>
      </c>
      <c r="C3" s="22"/>
      <c r="D3" s="22"/>
      <c r="E3" s="22"/>
      <c r="F3" s="22"/>
      <c r="G3" s="72" t="s">
        <v>226</v>
      </c>
      <c r="H3" s="22"/>
      <c r="I3" s="22"/>
      <c r="J3" s="22"/>
      <c r="K3" s="22"/>
      <c r="L3" s="22"/>
      <c r="M3" s="22"/>
      <c r="N3" s="22"/>
      <c r="O3" s="22"/>
      <c r="P3" s="22"/>
      <c r="Q3" s="22"/>
      <c r="R3" s="22"/>
      <c r="S3" s="22"/>
      <c r="T3" s="22"/>
    </row>
    <row r="4" spans="2:20" x14ac:dyDescent="0.25">
      <c r="B4" s="22"/>
      <c r="C4" s="22"/>
      <c r="D4" s="22"/>
      <c r="E4" s="22"/>
      <c r="F4" s="22"/>
      <c r="G4" s="22"/>
      <c r="H4" s="22"/>
      <c r="I4" s="22"/>
      <c r="J4" s="22"/>
      <c r="K4" s="5"/>
      <c r="L4" s="5"/>
      <c r="M4" s="5"/>
      <c r="N4" s="22"/>
      <c r="O4" s="22"/>
      <c r="P4" s="22"/>
      <c r="Q4" s="22"/>
      <c r="R4" s="22"/>
      <c r="S4" s="22"/>
      <c r="T4" s="22"/>
    </row>
    <row r="5" spans="2:20" ht="13" x14ac:dyDescent="0.3">
      <c r="B5" s="22"/>
      <c r="C5" s="22"/>
      <c r="D5" s="22"/>
      <c r="E5" s="22"/>
      <c r="F5" s="22"/>
      <c r="G5" s="22"/>
      <c r="H5" s="150"/>
      <c r="I5" s="22"/>
      <c r="J5" s="22"/>
      <c r="K5" s="22"/>
      <c r="L5" s="22"/>
      <c r="M5" s="22"/>
      <c r="N5" s="22"/>
      <c r="O5" s="22"/>
      <c r="P5" s="22"/>
      <c r="Q5" s="22"/>
      <c r="R5" s="22"/>
      <c r="S5" s="22"/>
      <c r="T5" s="22"/>
    </row>
    <row r="6" spans="2:20" ht="13" x14ac:dyDescent="0.3">
      <c r="B6" s="151" t="s">
        <v>0</v>
      </c>
      <c r="C6" s="22"/>
      <c r="D6" s="22"/>
      <c r="E6" s="22"/>
      <c r="F6" s="22"/>
      <c r="G6" s="22"/>
      <c r="H6" s="150"/>
      <c r="I6" s="22"/>
      <c r="J6" s="22"/>
      <c r="K6" s="22"/>
      <c r="L6" s="22"/>
      <c r="M6" s="22"/>
      <c r="N6" s="22"/>
      <c r="O6" s="22"/>
      <c r="P6" s="22"/>
      <c r="Q6" s="22"/>
      <c r="R6" s="22"/>
      <c r="S6" s="22"/>
      <c r="T6" s="22"/>
    </row>
    <row r="7" spans="2:20" ht="13" x14ac:dyDescent="0.3">
      <c r="B7" s="22"/>
      <c r="C7" s="22"/>
      <c r="D7" s="22"/>
      <c r="E7" s="152"/>
      <c r="F7" s="152"/>
      <c r="G7" s="152"/>
      <c r="H7" s="152"/>
      <c r="I7" s="152"/>
      <c r="J7" s="152"/>
      <c r="K7" s="152"/>
      <c r="L7" s="152"/>
      <c r="M7" s="152"/>
      <c r="N7" s="152"/>
      <c r="O7" s="152"/>
      <c r="P7" s="152"/>
      <c r="Q7" s="152"/>
      <c r="R7" s="152"/>
      <c r="S7" s="22"/>
      <c r="T7" s="22"/>
    </row>
    <row r="8" spans="2:20" x14ac:dyDescent="0.25">
      <c r="B8" s="22" t="s">
        <v>1</v>
      </c>
      <c r="C8" s="22"/>
      <c r="D8" s="57"/>
      <c r="E8" s="1" t="s">
        <v>2</v>
      </c>
      <c r="F8" s="2">
        <v>1</v>
      </c>
      <c r="G8" s="2">
        <v>2</v>
      </c>
      <c r="H8" s="2">
        <v>3</v>
      </c>
      <c r="I8" s="2">
        <v>4</v>
      </c>
      <c r="J8" s="2">
        <v>5</v>
      </c>
      <c r="K8" s="2">
        <v>6</v>
      </c>
      <c r="L8" s="2">
        <v>7</v>
      </c>
      <c r="M8" s="2">
        <v>8</v>
      </c>
      <c r="N8" s="2">
        <v>9</v>
      </c>
      <c r="O8" s="2">
        <v>10</v>
      </c>
      <c r="P8" s="2">
        <v>11</v>
      </c>
      <c r="Q8" s="2">
        <v>12</v>
      </c>
      <c r="R8" s="2">
        <v>13</v>
      </c>
      <c r="S8" s="46"/>
      <c r="T8" s="22"/>
    </row>
    <row r="9" spans="2:20" x14ac:dyDescent="0.25">
      <c r="B9" s="22" t="s">
        <v>3</v>
      </c>
      <c r="C9" s="22"/>
      <c r="D9" s="57"/>
      <c r="E9" s="2">
        <v>1</v>
      </c>
      <c r="F9" s="2">
        <v>2</v>
      </c>
      <c r="G9" s="2">
        <v>3</v>
      </c>
      <c r="H9" s="2">
        <v>4</v>
      </c>
      <c r="I9" s="2">
        <v>5</v>
      </c>
      <c r="J9" s="2">
        <v>6</v>
      </c>
      <c r="K9" s="2">
        <v>7</v>
      </c>
      <c r="L9" s="2">
        <v>8</v>
      </c>
      <c r="M9" s="2">
        <v>9</v>
      </c>
      <c r="N9" s="2">
        <v>10</v>
      </c>
      <c r="O9" s="2">
        <v>11</v>
      </c>
      <c r="P9" s="2">
        <v>12</v>
      </c>
      <c r="Q9" s="2">
        <v>13</v>
      </c>
      <c r="R9" s="2">
        <v>14</v>
      </c>
      <c r="S9" s="46"/>
      <c r="T9" s="22"/>
    </row>
    <row r="10" spans="2:20" ht="13" x14ac:dyDescent="0.3">
      <c r="B10" s="52" t="s">
        <v>249</v>
      </c>
      <c r="C10" s="22"/>
      <c r="D10" s="22"/>
      <c r="E10" s="83"/>
      <c r="F10" s="83"/>
      <c r="G10" s="83"/>
      <c r="H10" s="83"/>
      <c r="I10" s="83"/>
      <c r="J10" s="83"/>
      <c r="K10" s="83"/>
      <c r="L10" s="83"/>
      <c r="M10" s="83"/>
      <c r="N10" s="83"/>
      <c r="O10" s="83"/>
      <c r="P10" s="83"/>
      <c r="Q10" s="83"/>
      <c r="R10" s="83"/>
      <c r="S10" s="22"/>
      <c r="T10" s="22"/>
    </row>
    <row r="11" spans="2:20" x14ac:dyDescent="0.25">
      <c r="B11" s="153" t="s">
        <v>414</v>
      </c>
      <c r="C11" s="22"/>
      <c r="D11" s="22"/>
      <c r="E11" s="64" t="s">
        <v>5</v>
      </c>
      <c r="F11" s="611">
        <v>0</v>
      </c>
      <c r="G11" s="611">
        <v>0.78</v>
      </c>
      <c r="H11" s="611">
        <v>0.45</v>
      </c>
      <c r="I11" s="611">
        <v>0.7</v>
      </c>
      <c r="J11" s="611">
        <v>0.7</v>
      </c>
      <c r="K11" s="611">
        <v>0.7</v>
      </c>
      <c r="L11" s="611">
        <v>0.7</v>
      </c>
      <c r="M11" s="611">
        <v>0.65</v>
      </c>
      <c r="N11" s="611">
        <v>0.65</v>
      </c>
      <c r="O11" s="611">
        <v>0.6</v>
      </c>
      <c r="P11" s="611">
        <v>0.6</v>
      </c>
      <c r="Q11" s="611">
        <v>0.6</v>
      </c>
      <c r="R11" s="612">
        <v>0.6</v>
      </c>
      <c r="S11" s="22"/>
      <c r="T11" s="154" t="s">
        <v>418</v>
      </c>
    </row>
    <row r="12" spans="2:20" x14ac:dyDescent="0.25">
      <c r="B12" s="153" t="s">
        <v>415</v>
      </c>
      <c r="C12" s="22"/>
      <c r="D12" s="22"/>
      <c r="E12" s="67" t="s">
        <v>5</v>
      </c>
      <c r="F12" s="611">
        <v>0</v>
      </c>
      <c r="G12" s="611">
        <v>0.16399999999999998</v>
      </c>
      <c r="H12" s="611">
        <v>9.5000000000000001E-2</v>
      </c>
      <c r="I12" s="611">
        <v>0.11800000000000001</v>
      </c>
      <c r="J12" s="611">
        <v>0.11800000000000001</v>
      </c>
      <c r="K12" s="611">
        <v>0.11800000000000001</v>
      </c>
      <c r="L12" s="611">
        <v>0.11800000000000001</v>
      </c>
      <c r="M12" s="611">
        <v>0.13699999999999998</v>
      </c>
      <c r="N12" s="611">
        <v>0.13699999999999998</v>
      </c>
      <c r="O12" s="611">
        <v>0.13699999999999998</v>
      </c>
      <c r="P12" s="611">
        <v>0.13699999999999998</v>
      </c>
      <c r="Q12" s="611">
        <v>0.13699999999999998</v>
      </c>
      <c r="R12" s="613">
        <v>0.13699999999999998</v>
      </c>
      <c r="S12" s="22"/>
      <c r="T12" s="154" t="s">
        <v>419</v>
      </c>
    </row>
    <row r="13" spans="2:20" x14ac:dyDescent="0.25">
      <c r="B13" s="153" t="s">
        <v>416</v>
      </c>
      <c r="C13" s="22"/>
      <c r="D13" s="22"/>
      <c r="E13" s="67" t="s">
        <v>5</v>
      </c>
      <c r="F13" s="614">
        <v>0</v>
      </c>
      <c r="G13" s="614">
        <v>1</v>
      </c>
      <c r="H13" s="614">
        <v>0.1</v>
      </c>
      <c r="I13" s="614">
        <v>0.1</v>
      </c>
      <c r="J13" s="614">
        <v>0.1</v>
      </c>
      <c r="K13" s="614">
        <v>0.1</v>
      </c>
      <c r="L13" s="614">
        <v>0.1</v>
      </c>
      <c r="M13" s="614">
        <v>0.1</v>
      </c>
      <c r="N13" s="614">
        <v>0.1</v>
      </c>
      <c r="O13" s="614">
        <v>0.1</v>
      </c>
      <c r="P13" s="614">
        <v>0.1</v>
      </c>
      <c r="Q13" s="614">
        <v>0.1</v>
      </c>
      <c r="R13" s="615">
        <v>0.1</v>
      </c>
      <c r="S13" s="22"/>
      <c r="T13" s="154"/>
    </row>
    <row r="14" spans="2:20" x14ac:dyDescent="0.25">
      <c r="B14" s="153" t="s">
        <v>417</v>
      </c>
      <c r="C14" s="22"/>
      <c r="D14" s="22"/>
      <c r="E14" s="68" t="s">
        <v>5</v>
      </c>
      <c r="F14" s="616">
        <v>0</v>
      </c>
      <c r="G14" s="616">
        <v>0</v>
      </c>
      <c r="H14" s="616">
        <v>0</v>
      </c>
      <c r="I14" s="616">
        <v>0</v>
      </c>
      <c r="J14" s="616">
        <v>0</v>
      </c>
      <c r="K14" s="616">
        <v>0</v>
      </c>
      <c r="L14" s="616">
        <v>0</v>
      </c>
      <c r="M14" s="616">
        <v>0</v>
      </c>
      <c r="N14" s="616">
        <v>0</v>
      </c>
      <c r="O14" s="616">
        <v>0</v>
      </c>
      <c r="P14" s="616">
        <v>0</v>
      </c>
      <c r="Q14" s="616">
        <v>0</v>
      </c>
      <c r="R14" s="617">
        <v>0</v>
      </c>
      <c r="S14" s="22"/>
      <c r="T14" s="154"/>
    </row>
    <row r="15" spans="2:20" x14ac:dyDescent="0.25">
      <c r="B15" s="89"/>
      <c r="C15" s="22"/>
      <c r="D15" s="22"/>
      <c r="E15" s="22"/>
      <c r="F15" s="22"/>
      <c r="G15" s="22"/>
      <c r="H15" s="22"/>
      <c r="I15" s="22"/>
      <c r="J15" s="22"/>
      <c r="K15" s="22"/>
      <c r="L15" s="22"/>
      <c r="M15" s="22"/>
      <c r="N15" s="22"/>
      <c r="O15" s="22"/>
      <c r="P15" s="22"/>
      <c r="Q15" s="22"/>
      <c r="R15" s="22"/>
      <c r="S15" s="22"/>
      <c r="T15" s="153"/>
    </row>
    <row r="16" spans="2:20" x14ac:dyDescent="0.25">
      <c r="B16" s="22" t="s">
        <v>4</v>
      </c>
      <c r="C16" s="22"/>
      <c r="D16" s="57"/>
      <c r="E16" s="219" t="s">
        <v>5</v>
      </c>
      <c r="F16" s="618">
        <v>0</v>
      </c>
      <c r="G16" s="618">
        <v>0.83600000000000008</v>
      </c>
      <c r="H16" s="618">
        <v>0.43095238095238086</v>
      </c>
      <c r="I16" s="618">
        <v>0.63649484536082479</v>
      </c>
      <c r="J16" s="618">
        <v>0.63649484536082457</v>
      </c>
      <c r="K16" s="618">
        <v>0.63649484536082468</v>
      </c>
      <c r="L16" s="618">
        <v>0.63649484536082468</v>
      </c>
      <c r="M16" s="618">
        <v>0.58129533678756473</v>
      </c>
      <c r="N16" s="618">
        <v>0.58129533678756473</v>
      </c>
      <c r="O16" s="618">
        <v>0.53937500000000005</v>
      </c>
      <c r="P16" s="618">
        <v>0</v>
      </c>
      <c r="Q16" s="618">
        <v>0</v>
      </c>
      <c r="R16" s="612">
        <v>0</v>
      </c>
      <c r="S16" s="46"/>
      <c r="T16" s="153" t="s">
        <v>420</v>
      </c>
    </row>
    <row r="17" spans="2:20" x14ac:dyDescent="0.25">
      <c r="B17" s="89" t="s">
        <v>423</v>
      </c>
      <c r="C17" s="22"/>
      <c r="D17" s="57"/>
      <c r="E17" s="611">
        <v>2.5000000000000001E-2</v>
      </c>
      <c r="F17" s="611">
        <v>2.5000000000000001E-2</v>
      </c>
      <c r="G17" s="611">
        <v>2.5000000000000001E-2</v>
      </c>
      <c r="H17" s="611">
        <v>2.5000000000000001E-2</v>
      </c>
      <c r="I17" s="611">
        <v>2.5000000000000001E-2</v>
      </c>
      <c r="J17" s="611">
        <v>2.5000000000000001E-2</v>
      </c>
      <c r="K17" s="611">
        <v>2.5000000000000001E-2</v>
      </c>
      <c r="L17" s="611">
        <v>2.5000000000000001E-2</v>
      </c>
      <c r="M17" s="611">
        <v>2.5000000000000001E-2</v>
      </c>
      <c r="N17" s="611">
        <v>2.5000000000000001E-2</v>
      </c>
      <c r="O17" s="611">
        <v>2.5000000000000001E-2</v>
      </c>
      <c r="P17" s="611">
        <v>2.5000000000000001E-2</v>
      </c>
      <c r="Q17" s="611">
        <v>2.5000000000000001E-2</v>
      </c>
      <c r="R17" s="611">
        <v>2.5000000000000001E-2</v>
      </c>
      <c r="S17" s="46"/>
      <c r="T17" s="22"/>
    </row>
    <row r="18" spans="2:20" x14ac:dyDescent="0.25">
      <c r="B18" s="89" t="s">
        <v>422</v>
      </c>
      <c r="C18" s="22"/>
      <c r="D18" s="57"/>
      <c r="E18" s="611">
        <v>2.5000000000000001E-2</v>
      </c>
      <c r="F18" s="611">
        <v>2.5000000000000001E-2</v>
      </c>
      <c r="G18" s="611">
        <v>2.5000000000000001E-2</v>
      </c>
      <c r="H18" s="611">
        <v>2.5000000000000001E-2</v>
      </c>
      <c r="I18" s="611">
        <v>2.5000000000000001E-2</v>
      </c>
      <c r="J18" s="611">
        <v>2.5000000000000001E-2</v>
      </c>
      <c r="K18" s="611">
        <v>2.5000000000000001E-2</v>
      </c>
      <c r="L18" s="611">
        <v>2.5000000000000001E-2</v>
      </c>
      <c r="M18" s="611">
        <v>2.5000000000000001E-2</v>
      </c>
      <c r="N18" s="611">
        <v>2.5000000000000001E-2</v>
      </c>
      <c r="O18" s="611">
        <v>2.5000000000000001E-2</v>
      </c>
      <c r="P18" s="611">
        <v>2.5000000000000001E-2</v>
      </c>
      <c r="Q18" s="611">
        <v>2.5000000000000001E-2</v>
      </c>
      <c r="R18" s="611">
        <v>2.5000000000000001E-2</v>
      </c>
      <c r="S18" s="46"/>
      <c r="T18" s="22"/>
    </row>
    <row r="19" spans="2:20" ht="13" x14ac:dyDescent="0.3">
      <c r="B19" s="89" t="s">
        <v>421</v>
      </c>
      <c r="C19" s="22"/>
      <c r="D19" s="57"/>
      <c r="E19" s="611">
        <v>2.5000000000000001E-2</v>
      </c>
      <c r="F19" s="391">
        <v>2.5000000000000001E-2</v>
      </c>
      <c r="G19" s="391">
        <v>2.5000000000000001E-2</v>
      </c>
      <c r="H19" s="391">
        <v>2.5000000000000001E-2</v>
      </c>
      <c r="I19" s="391">
        <v>2.5000000000000001E-2</v>
      </c>
      <c r="J19" s="150" t="s">
        <v>250</v>
      </c>
      <c r="K19" s="150"/>
      <c r="L19" s="22"/>
      <c r="M19" s="22"/>
      <c r="N19" s="22"/>
      <c r="O19" s="22"/>
      <c r="P19" s="22"/>
      <c r="Q19" s="22"/>
      <c r="R19" s="22"/>
      <c r="S19" s="46"/>
      <c r="T19" s="22"/>
    </row>
    <row r="20" spans="2:20" ht="13" x14ac:dyDescent="0.3">
      <c r="B20" s="22"/>
      <c r="C20" s="22"/>
      <c r="D20" s="22"/>
      <c r="E20" s="155"/>
      <c r="F20" s="155"/>
      <c r="G20" s="155"/>
      <c r="H20" s="155"/>
      <c r="I20" s="155"/>
      <c r="J20" s="155"/>
      <c r="K20" s="155"/>
      <c r="L20" s="155"/>
      <c r="M20" s="155"/>
      <c r="N20" s="155"/>
      <c r="O20" s="155"/>
      <c r="P20" s="155"/>
      <c r="Q20" s="155"/>
      <c r="R20" s="155"/>
      <c r="S20" s="22"/>
      <c r="T20" s="22"/>
    </row>
    <row r="21" spans="2:20" ht="13" x14ac:dyDescent="0.3">
      <c r="B21" s="72" t="s">
        <v>6</v>
      </c>
      <c r="C21" s="150" t="s">
        <v>7</v>
      </c>
      <c r="D21" s="22"/>
      <c r="E21" s="22"/>
      <c r="F21" s="22"/>
      <c r="G21" s="22"/>
      <c r="H21" s="22"/>
      <c r="I21" s="22"/>
      <c r="J21" s="22"/>
      <c r="K21" s="22"/>
      <c r="L21" s="22"/>
      <c r="M21" s="156"/>
      <c r="N21" s="156"/>
      <c r="O21" s="156"/>
      <c r="P21" s="22"/>
      <c r="Q21" s="22"/>
      <c r="R21" s="22"/>
      <c r="S21" s="22"/>
      <c r="T21" s="22"/>
    </row>
    <row r="22" spans="2:20" ht="13" x14ac:dyDescent="0.3">
      <c r="B22" s="22"/>
      <c r="C22" s="150" t="s">
        <v>8</v>
      </c>
      <c r="D22" s="22"/>
      <c r="E22" s="22"/>
      <c r="F22" s="22"/>
      <c r="G22" s="22"/>
      <c r="H22" s="22"/>
      <c r="I22" s="22"/>
      <c r="J22" s="22"/>
      <c r="K22" s="22"/>
      <c r="L22" s="22"/>
      <c r="M22" s="22"/>
      <c r="N22" s="22"/>
      <c r="O22" s="22"/>
      <c r="P22" s="22"/>
      <c r="Q22" s="22"/>
      <c r="R22" s="22"/>
      <c r="S22" s="22"/>
      <c r="T22" s="22"/>
    </row>
    <row r="23" spans="2:20" ht="13" x14ac:dyDescent="0.3">
      <c r="B23" s="22"/>
      <c r="C23" s="150" t="s">
        <v>9</v>
      </c>
      <c r="D23" s="22"/>
      <c r="E23" s="22"/>
      <c r="F23" s="22"/>
      <c r="G23" s="22"/>
      <c r="H23" s="22"/>
      <c r="I23" s="22"/>
      <c r="J23" s="22"/>
      <c r="K23" s="22"/>
      <c r="L23" s="22"/>
      <c r="M23" s="22"/>
      <c r="N23" s="22"/>
      <c r="O23" s="22"/>
      <c r="P23" s="22"/>
      <c r="Q23" s="22"/>
      <c r="R23" s="22"/>
      <c r="S23" s="22"/>
      <c r="T23" s="22"/>
    </row>
    <row r="24" spans="2:20" ht="13" x14ac:dyDescent="0.3">
      <c r="B24" s="22"/>
      <c r="C24" s="150"/>
      <c r="D24" s="22"/>
      <c r="E24" s="22"/>
      <c r="F24" s="22"/>
      <c r="G24" s="22"/>
      <c r="H24" s="22"/>
      <c r="I24" s="22"/>
      <c r="J24" s="22"/>
      <c r="K24" s="22"/>
      <c r="L24" s="22"/>
      <c r="M24" s="22"/>
      <c r="N24" s="22"/>
      <c r="O24" s="22"/>
      <c r="P24" s="22"/>
      <c r="Q24" s="22"/>
      <c r="R24" s="22"/>
      <c r="S24" s="22"/>
      <c r="T24" s="22"/>
    </row>
    <row r="25" spans="2:20" ht="13" x14ac:dyDescent="0.3">
      <c r="B25" s="151" t="s">
        <v>10</v>
      </c>
      <c r="C25" s="22"/>
      <c r="D25" s="22"/>
      <c r="E25" s="22"/>
      <c r="F25" s="22"/>
      <c r="G25" s="22"/>
      <c r="H25" s="22"/>
      <c r="I25" s="22"/>
      <c r="J25" s="22"/>
      <c r="K25" s="22"/>
      <c r="L25" s="22"/>
      <c r="M25" s="22"/>
      <c r="N25" s="22"/>
      <c r="O25" s="22"/>
      <c r="P25" s="22"/>
      <c r="Q25" s="22"/>
      <c r="R25" s="22"/>
      <c r="S25" s="22"/>
      <c r="T25" s="22"/>
    </row>
    <row r="26" spans="2:20" ht="13" x14ac:dyDescent="0.3">
      <c r="B26" s="22"/>
      <c r="C26" s="22"/>
      <c r="D26" s="152"/>
      <c r="E26" s="152"/>
      <c r="F26" s="152"/>
      <c r="G26" s="152"/>
      <c r="H26" s="152"/>
      <c r="I26" s="152"/>
      <c r="J26" s="152"/>
      <c r="K26" s="152"/>
      <c r="L26" s="152"/>
      <c r="M26" s="152"/>
      <c r="N26" s="152"/>
      <c r="O26" s="152"/>
      <c r="P26" s="152"/>
      <c r="Q26" s="152"/>
      <c r="R26" s="152"/>
      <c r="S26" s="22"/>
      <c r="T26" s="22"/>
    </row>
    <row r="27" spans="2:20" x14ac:dyDescent="0.25">
      <c r="B27" s="22" t="s">
        <v>11</v>
      </c>
      <c r="C27" s="57"/>
      <c r="D27" s="59" t="s">
        <v>2</v>
      </c>
      <c r="E27" s="2">
        <v>1</v>
      </c>
      <c r="F27" s="2">
        <v>2</v>
      </c>
      <c r="G27" s="2">
        <v>3</v>
      </c>
      <c r="H27" s="2">
        <v>4</v>
      </c>
      <c r="I27" s="2">
        <v>5</v>
      </c>
      <c r="J27" s="2">
        <v>6</v>
      </c>
      <c r="K27" s="2">
        <v>7</v>
      </c>
      <c r="L27" s="2">
        <v>8</v>
      </c>
      <c r="M27" s="2">
        <v>9</v>
      </c>
      <c r="N27" s="2">
        <v>10</v>
      </c>
      <c r="O27" s="2">
        <v>11</v>
      </c>
      <c r="P27" s="2">
        <v>12</v>
      </c>
      <c r="Q27" s="2">
        <v>13</v>
      </c>
      <c r="R27" s="2">
        <v>14</v>
      </c>
      <c r="S27" s="46"/>
      <c r="T27" s="22"/>
    </row>
    <row r="28" spans="2:20" x14ac:dyDescent="0.25">
      <c r="B28" s="22"/>
      <c r="C28" s="22"/>
      <c r="D28" s="83"/>
      <c r="E28" s="83"/>
      <c r="F28" s="83"/>
      <c r="G28" s="83"/>
      <c r="H28" s="83"/>
      <c r="I28" s="83"/>
      <c r="J28" s="83"/>
      <c r="K28" s="83"/>
      <c r="L28" s="83"/>
      <c r="M28" s="83"/>
      <c r="N28" s="83"/>
      <c r="O28" s="83"/>
      <c r="P28" s="83"/>
      <c r="Q28" s="83"/>
      <c r="R28" s="83"/>
      <c r="S28" s="22"/>
      <c r="T28" s="22"/>
    </row>
    <row r="29" spans="2:20" x14ac:dyDescent="0.25">
      <c r="B29" s="22" t="s">
        <v>12</v>
      </c>
      <c r="C29" s="157"/>
      <c r="D29" s="252">
        <f>Prices!$L$11</f>
        <v>239.02703999999997</v>
      </c>
      <c r="E29" s="252">
        <f>Prices!$L$12</f>
        <v>482.65160000000003</v>
      </c>
      <c r="F29" s="252">
        <f>Prices!$L$13</f>
        <v>693.25911999999994</v>
      </c>
      <c r="G29" s="252">
        <f>Prices!$L$14</f>
        <v>669.56999999999994</v>
      </c>
      <c r="H29" s="252">
        <f>Prices!$L$15</f>
        <v>640.33999999999992</v>
      </c>
      <c r="I29" s="252">
        <f>Prices!$L$16</f>
        <v>640.33999999999992</v>
      </c>
      <c r="J29" s="252">
        <f>Prices!$L$17</f>
        <v>640.33999999999992</v>
      </c>
      <c r="K29" s="252">
        <f>Prices!$L$18</f>
        <v>640.33999999999992</v>
      </c>
      <c r="L29" s="252">
        <f>Prices!$L$19</f>
        <v>640.33999999999992</v>
      </c>
      <c r="M29" s="252">
        <f>Prices!$L$20</f>
        <v>640.33999999999992</v>
      </c>
      <c r="N29" s="252">
        <f>Prices!$L$21</f>
        <v>640.33999999999992</v>
      </c>
      <c r="O29" s="252">
        <f>Prices!$L$22</f>
        <v>640.33999999999992</v>
      </c>
      <c r="P29" s="252">
        <f>Prices!$L$23</f>
        <v>640.33999999999992</v>
      </c>
      <c r="Q29" s="252">
        <f>Prices!$L$24</f>
        <v>640.33999999999992</v>
      </c>
      <c r="R29" s="252">
        <f>Prices!$L$25</f>
        <v>640.33999999999992</v>
      </c>
      <c r="S29" s="46"/>
      <c r="T29" s="22"/>
    </row>
    <row r="30" spans="2:20" x14ac:dyDescent="0.25">
      <c r="B30" s="22" t="s">
        <v>392</v>
      </c>
      <c r="C30" s="57"/>
      <c r="D30" s="28" t="s">
        <v>5</v>
      </c>
      <c r="E30" s="252">
        <f>Prices!$L$27</f>
        <v>482.65160000000003</v>
      </c>
      <c r="F30" s="252">
        <f>Prices!$L$28</f>
        <v>693.25911999999994</v>
      </c>
      <c r="G30" s="252">
        <f>Prices!$L$29</f>
        <v>669.56999999999994</v>
      </c>
      <c r="H30" s="252">
        <f>Prices!$L$30</f>
        <v>640.33999999999992</v>
      </c>
      <c r="I30" s="252">
        <f>Prices!$L$31</f>
        <v>640.33999999999992</v>
      </c>
      <c r="J30" s="252">
        <f>Prices!$L$32</f>
        <v>640.33999999999992</v>
      </c>
      <c r="K30" s="252">
        <f>Prices!$L$33</f>
        <v>640.33999999999992</v>
      </c>
      <c r="L30" s="252">
        <f>Prices!$L$34</f>
        <v>640.33999999999992</v>
      </c>
      <c r="M30" s="252">
        <f>Prices!$L$35</f>
        <v>640.33999999999992</v>
      </c>
      <c r="N30" s="252">
        <f>Prices!$L$36</f>
        <v>640.33999999999992</v>
      </c>
      <c r="O30" s="252">
        <f>Prices!$L$37</f>
        <v>640.33999999999992</v>
      </c>
      <c r="P30" s="252">
        <f>Prices!$L$38</f>
        <v>640.33999999999992</v>
      </c>
      <c r="Q30" s="252">
        <f>Prices!$L$39</f>
        <v>640.33999999999992</v>
      </c>
      <c r="R30" s="252">
        <f>Prices!$L$40</f>
        <v>640.33999999999992</v>
      </c>
      <c r="S30" s="46"/>
      <c r="T30" s="22"/>
    </row>
    <row r="31" spans="2:20" x14ac:dyDescent="0.25">
      <c r="B31" s="22" t="s">
        <v>13</v>
      </c>
      <c r="C31" s="57"/>
      <c r="D31" s="252">
        <f>Prices!$L$42</f>
        <v>311.00783999999999</v>
      </c>
      <c r="E31" s="252">
        <f>Prices!$L$43</f>
        <v>571.46799999999996</v>
      </c>
      <c r="F31" s="252">
        <f>Prices!$L$44</f>
        <v>843.16624000000002</v>
      </c>
      <c r="G31" s="252">
        <f>Prices!$L$45</f>
        <v>835.40751999999998</v>
      </c>
      <c r="H31" s="252">
        <f>Prices!$L$46</f>
        <v>0</v>
      </c>
      <c r="I31" s="252">
        <f>Prices!$L$47</f>
        <v>0</v>
      </c>
      <c r="J31" s="29" t="s">
        <v>250</v>
      </c>
      <c r="K31" s="29"/>
      <c r="L31" s="29"/>
      <c r="M31" s="29"/>
      <c r="N31" s="29"/>
      <c r="O31" s="29"/>
      <c r="P31" s="29"/>
      <c r="Q31" s="29"/>
      <c r="R31" s="29"/>
      <c r="S31" s="46"/>
      <c r="T31" s="22"/>
    </row>
    <row r="32" spans="2:20" ht="13" x14ac:dyDescent="0.3">
      <c r="B32" s="22"/>
      <c r="C32" s="22"/>
      <c r="D32" s="155"/>
      <c r="E32" s="155"/>
      <c r="F32" s="155"/>
      <c r="G32" s="155"/>
      <c r="H32" s="155"/>
      <c r="I32" s="155"/>
      <c r="J32" s="155"/>
      <c r="K32" s="155"/>
      <c r="L32" s="155"/>
      <c r="M32" s="155"/>
      <c r="N32" s="155"/>
      <c r="O32" s="155"/>
      <c r="P32" s="155"/>
      <c r="Q32" s="155"/>
      <c r="R32" s="155"/>
      <c r="S32" s="22"/>
      <c r="T32" s="22"/>
    </row>
    <row r="33" spans="2:20" ht="13" x14ac:dyDescent="0.3">
      <c r="B33" s="72" t="s">
        <v>14</v>
      </c>
      <c r="C33" s="150" t="s">
        <v>15</v>
      </c>
      <c r="D33" s="22"/>
      <c r="E33" s="22"/>
      <c r="F33" s="22"/>
      <c r="G33" s="22"/>
      <c r="H33" s="22"/>
      <c r="I33" s="22"/>
      <c r="J33" s="22"/>
      <c r="K33" s="22"/>
      <c r="L33" s="22"/>
      <c r="M33" s="22"/>
      <c r="N33" s="22"/>
      <c r="O33" s="22"/>
      <c r="P33" s="22"/>
      <c r="Q33" s="22"/>
      <c r="R33" s="22"/>
      <c r="S33" s="22"/>
      <c r="T33" s="22"/>
    </row>
    <row r="34" spans="2:20" ht="13" x14ac:dyDescent="0.3">
      <c r="B34" s="22"/>
      <c r="C34" s="150" t="s">
        <v>251</v>
      </c>
      <c r="D34" s="22"/>
      <c r="E34" s="22"/>
      <c r="F34" s="22"/>
      <c r="G34" s="22"/>
      <c r="H34" s="22"/>
      <c r="I34" s="22"/>
      <c r="J34" s="22"/>
      <c r="K34" s="22"/>
      <c r="L34" s="22"/>
      <c r="M34" s="22"/>
      <c r="N34" s="22"/>
      <c r="O34" s="22"/>
      <c r="P34" s="22"/>
      <c r="Q34" s="22"/>
      <c r="R34" s="22"/>
      <c r="S34" s="22"/>
      <c r="T34" s="22"/>
    </row>
    <row r="35" spans="2:20" x14ac:dyDescent="0.25">
      <c r="B35" s="22"/>
      <c r="C35" s="22"/>
      <c r="D35" s="22"/>
      <c r="E35" s="22"/>
      <c r="F35" s="22"/>
      <c r="G35" s="22"/>
      <c r="H35" s="22"/>
      <c r="I35" s="22"/>
      <c r="J35" s="22"/>
      <c r="K35" s="22"/>
      <c r="L35" s="22"/>
      <c r="M35" s="22"/>
      <c r="N35" s="22"/>
      <c r="O35" s="22"/>
      <c r="P35" s="22"/>
      <c r="Q35" s="22"/>
      <c r="R35" s="22"/>
      <c r="S35" s="22"/>
      <c r="T35" s="22"/>
    </row>
    <row r="36" spans="2:20" ht="13" x14ac:dyDescent="0.3">
      <c r="B36" s="151" t="s">
        <v>16</v>
      </c>
      <c r="C36" s="22"/>
      <c r="D36" s="22"/>
      <c r="E36" s="22"/>
      <c r="F36" s="22"/>
      <c r="G36" s="22"/>
      <c r="H36" s="22"/>
      <c r="I36" s="22"/>
      <c r="J36" s="22"/>
      <c r="K36" s="22"/>
      <c r="L36" s="22"/>
      <c r="M36" s="22"/>
      <c r="N36" s="22"/>
      <c r="O36" s="22"/>
      <c r="P36" s="22"/>
      <c r="Q36" s="22"/>
      <c r="R36" s="22"/>
      <c r="S36" s="22"/>
      <c r="T36" s="22"/>
    </row>
    <row r="37" spans="2:20" ht="13" x14ac:dyDescent="0.3">
      <c r="B37" s="22"/>
      <c r="C37" s="22"/>
      <c r="D37" s="22"/>
      <c r="E37" s="22"/>
      <c r="F37" s="152"/>
      <c r="G37" s="22"/>
      <c r="H37" s="22"/>
      <c r="I37" s="22"/>
      <c r="J37" s="22"/>
      <c r="K37" s="22"/>
      <c r="L37" s="22"/>
      <c r="M37" s="22"/>
      <c r="N37" s="22"/>
      <c r="O37" s="22"/>
      <c r="P37" s="22"/>
      <c r="Q37" s="22"/>
      <c r="R37" s="22"/>
      <c r="S37" s="22"/>
      <c r="T37" s="22"/>
    </row>
    <row r="38" spans="2:20" ht="13" x14ac:dyDescent="0.3">
      <c r="B38" s="22" t="s">
        <v>17</v>
      </c>
      <c r="C38" s="22"/>
      <c r="D38" s="22"/>
      <c r="E38" s="57"/>
      <c r="F38" s="198">
        <v>3</v>
      </c>
      <c r="G38" s="158" t="s">
        <v>18</v>
      </c>
      <c r="H38" s="22"/>
      <c r="I38" s="22"/>
      <c r="J38" s="22"/>
      <c r="K38" s="22"/>
      <c r="L38" s="22"/>
      <c r="M38" s="22"/>
      <c r="N38" s="22"/>
      <c r="O38" s="22"/>
      <c r="P38" s="22"/>
      <c r="Q38" s="22"/>
      <c r="R38" s="22"/>
      <c r="S38" s="22"/>
      <c r="T38" s="22"/>
    </row>
    <row r="39" spans="2:20" ht="13" x14ac:dyDescent="0.3">
      <c r="B39" s="22" t="s">
        <v>363</v>
      </c>
      <c r="C39" s="22"/>
      <c r="D39" s="22"/>
      <c r="E39" s="22"/>
      <c r="F39" s="159" t="s">
        <v>372</v>
      </c>
      <c r="G39" s="160" t="s">
        <v>373</v>
      </c>
      <c r="H39" s="160" t="s">
        <v>374</v>
      </c>
      <c r="I39" s="160" t="s">
        <v>375</v>
      </c>
      <c r="J39" s="160" t="s">
        <v>376</v>
      </c>
      <c r="K39" s="160" t="s">
        <v>364</v>
      </c>
      <c r="L39" s="22"/>
      <c r="M39" s="22"/>
      <c r="N39" s="22"/>
      <c r="O39" s="22"/>
      <c r="P39" s="22"/>
      <c r="Q39" s="22"/>
      <c r="R39" s="22"/>
      <c r="S39" s="22"/>
      <c r="T39" s="22"/>
    </row>
    <row r="40" spans="2:20" x14ac:dyDescent="0.25">
      <c r="B40" s="22" t="s">
        <v>361</v>
      </c>
      <c r="C40" s="22"/>
      <c r="D40" s="22"/>
      <c r="E40" s="57"/>
      <c r="F40" s="2">
        <v>0</v>
      </c>
      <c r="G40" s="2">
        <v>1</v>
      </c>
      <c r="H40" s="2">
        <v>2</v>
      </c>
      <c r="I40" s="2">
        <v>3</v>
      </c>
      <c r="J40" s="2">
        <v>4</v>
      </c>
      <c r="K40" s="2">
        <v>5</v>
      </c>
      <c r="L40" s="46"/>
      <c r="M40" s="22"/>
      <c r="N40" s="22"/>
      <c r="O40" s="22"/>
      <c r="P40" s="22"/>
      <c r="Q40" s="22"/>
      <c r="R40" s="22"/>
      <c r="S40" s="22"/>
      <c r="T40" s="22"/>
    </row>
    <row r="41" spans="2:20" x14ac:dyDescent="0.25">
      <c r="B41" s="22"/>
      <c r="C41" s="22"/>
      <c r="D41" s="22"/>
      <c r="E41" s="22"/>
      <c r="F41" s="83"/>
      <c r="G41" s="83"/>
      <c r="H41" s="83"/>
      <c r="I41" s="83"/>
      <c r="J41" s="83"/>
      <c r="K41" s="83"/>
      <c r="L41" s="22"/>
      <c r="M41" s="22"/>
      <c r="N41" s="22"/>
      <c r="O41" s="22"/>
      <c r="P41" s="22"/>
      <c r="Q41" s="22"/>
      <c r="R41" s="22"/>
      <c r="S41" s="22"/>
      <c r="T41" s="22"/>
    </row>
    <row r="42" spans="2:20" x14ac:dyDescent="0.25">
      <c r="B42" s="22" t="s">
        <v>19</v>
      </c>
      <c r="C42" s="22"/>
      <c r="D42" s="22"/>
      <c r="E42" s="57"/>
      <c r="F42" s="2">
        <f>E95/2</f>
        <v>232.51107440439688</v>
      </c>
      <c r="G42" s="2">
        <f>(F42-F46)*(1-E19)</f>
        <v>226.69829754428696</v>
      </c>
      <c r="H42" s="2">
        <f>(G42-G46)*(1-F19)</f>
        <v>221.03084010567977</v>
      </c>
      <c r="I42" s="2">
        <f>(H42-H45-H46)*(1-G19)</f>
        <v>36.635861747516437</v>
      </c>
      <c r="J42" s="2">
        <f>(I42-I46)*(1-H19)</f>
        <v>0</v>
      </c>
      <c r="K42" s="2">
        <f>(J42-J46)*(1-I19)</f>
        <v>0</v>
      </c>
      <c r="L42" s="46"/>
      <c r="M42" s="22"/>
      <c r="N42" s="22"/>
      <c r="O42" s="22"/>
      <c r="P42" s="22"/>
      <c r="Q42" s="22"/>
      <c r="R42" s="22"/>
      <c r="S42" s="22"/>
      <c r="T42" s="22"/>
    </row>
    <row r="43" spans="2:20" x14ac:dyDescent="0.25">
      <c r="B43" s="22" t="s">
        <v>20</v>
      </c>
      <c r="C43" s="22"/>
      <c r="D43" s="22"/>
      <c r="E43" s="57"/>
      <c r="F43" s="2">
        <f>G43/(1-E19)</f>
        <v>0</v>
      </c>
      <c r="G43" s="2">
        <f>H43/(1-F19)</f>
        <v>0</v>
      </c>
      <c r="H43" s="2">
        <f>G56</f>
        <v>0</v>
      </c>
      <c r="I43" s="59" t="s">
        <v>5</v>
      </c>
      <c r="J43" s="59" t="s">
        <v>5</v>
      </c>
      <c r="K43" s="59" t="s">
        <v>5</v>
      </c>
      <c r="L43" s="46"/>
      <c r="M43" s="22"/>
      <c r="N43" s="22"/>
      <c r="O43" s="22"/>
      <c r="P43" s="22"/>
      <c r="Q43" s="22"/>
      <c r="R43" s="22"/>
      <c r="S43" s="22"/>
      <c r="T43" s="22"/>
    </row>
    <row r="44" spans="2:20" x14ac:dyDescent="0.25">
      <c r="B44" s="22" t="s">
        <v>362</v>
      </c>
      <c r="C44" s="22"/>
      <c r="D44" s="22"/>
      <c r="E44" s="57"/>
      <c r="F44" s="199">
        <v>0</v>
      </c>
      <c r="G44" s="199">
        <v>0</v>
      </c>
      <c r="H44" s="199">
        <v>0.83</v>
      </c>
      <c r="I44" s="199">
        <v>0</v>
      </c>
      <c r="J44" s="199">
        <v>0</v>
      </c>
      <c r="K44" s="59" t="s">
        <v>5</v>
      </c>
      <c r="L44" s="46"/>
      <c r="M44" s="22"/>
      <c r="N44" s="22"/>
      <c r="O44" s="22"/>
      <c r="P44" s="22"/>
      <c r="Q44" s="22"/>
      <c r="R44" s="22"/>
      <c r="S44" s="22"/>
      <c r="T44" s="22"/>
    </row>
    <row r="45" spans="2:20" x14ac:dyDescent="0.25">
      <c r="B45" s="22" t="s">
        <v>21</v>
      </c>
      <c r="C45" s="22"/>
      <c r="D45" s="22"/>
      <c r="E45" s="57"/>
      <c r="F45" s="59" t="s">
        <v>5</v>
      </c>
      <c r="G45" s="59" t="s">
        <v>5</v>
      </c>
      <c r="H45" s="2">
        <f>H43</f>
        <v>0</v>
      </c>
      <c r="I45" s="59" t="s">
        <v>5</v>
      </c>
      <c r="J45" s="59" t="s">
        <v>5</v>
      </c>
      <c r="K45" s="59" t="s">
        <v>5</v>
      </c>
      <c r="L45" s="46"/>
      <c r="M45" s="22"/>
      <c r="N45" s="22"/>
      <c r="O45" s="22"/>
      <c r="P45" s="22"/>
      <c r="Q45" s="22"/>
      <c r="R45" s="22"/>
      <c r="S45" s="22"/>
      <c r="T45" s="22"/>
    </row>
    <row r="46" spans="2:20" x14ac:dyDescent="0.25">
      <c r="B46" s="22" t="s">
        <v>22</v>
      </c>
      <c r="C46" s="22"/>
      <c r="D46" s="22"/>
      <c r="E46" s="57"/>
      <c r="F46" s="2">
        <f>IF(F40&gt;=$F$38,F42-F43,0)+IF(F40&lt;$F$38,IF(F42*F44&lt;=F42-F43,F42*F44,F42-F43),0)</f>
        <v>0</v>
      </c>
      <c r="G46" s="2">
        <f>IF(G40&gt;=$F$38,G42-G43,0)+IF(G40&lt;$F$38,IF(G42*G44&lt;=G42-G43,G42*G44,G42-G43),0)</f>
        <v>0</v>
      </c>
      <c r="H46" s="2">
        <f>IF(H40&gt;=$F$38,H42-H43,0)+IF(H40&lt;$F$38,IF(H42*H44&lt;=H42-H43,H42*H44,H42-H43),0)</f>
        <v>183.4555972877142</v>
      </c>
      <c r="I46" s="2">
        <f>IF(I40=$F$38,I42,0)+IF(I40&lt;$F$38,I42*I44,0)</f>
        <v>36.635861747516437</v>
      </c>
      <c r="J46" s="2">
        <f>IF(J40=$F$38,J42,0)+IF(J40&lt;$F$38,J42*J44,0)</f>
        <v>0</v>
      </c>
      <c r="K46" s="2">
        <f>K42</f>
        <v>0</v>
      </c>
      <c r="L46" s="46"/>
      <c r="M46" s="22"/>
      <c r="N46" s="22"/>
      <c r="O46" s="22"/>
      <c r="P46" s="22"/>
      <c r="Q46" s="22"/>
      <c r="R46" s="22"/>
      <c r="S46" s="22"/>
      <c r="T46" s="22"/>
    </row>
    <row r="47" spans="2:20" ht="13" x14ac:dyDescent="0.3">
      <c r="B47" s="22"/>
      <c r="C47" s="22"/>
      <c r="D47" s="22"/>
      <c r="E47" s="22"/>
      <c r="F47" s="83"/>
      <c r="G47" s="155"/>
      <c r="H47" s="155"/>
      <c r="I47" s="83"/>
      <c r="J47" s="155"/>
      <c r="K47" s="155"/>
      <c r="L47" s="22"/>
      <c r="M47" s="22"/>
      <c r="N47" s="22"/>
      <c r="O47" s="22"/>
      <c r="P47" s="22"/>
      <c r="Q47" s="22"/>
      <c r="R47" s="22"/>
      <c r="S47" s="22"/>
      <c r="T47" s="22"/>
    </row>
    <row r="48" spans="2:20" x14ac:dyDescent="0.25">
      <c r="B48" s="22" t="s">
        <v>23</v>
      </c>
      <c r="C48" s="22"/>
      <c r="D48" s="22"/>
      <c r="E48" s="57"/>
      <c r="F48" s="2">
        <f>SUM(F46:K46)</f>
        <v>220.09145903523063</v>
      </c>
      <c r="G48" s="46" t="s">
        <v>24</v>
      </c>
      <c r="H48" s="57"/>
      <c r="I48" s="253">
        <f>IF(F48&gt;0,((F46*D31)+(G46*E31)+(H46*F31)+(I46*G31)+(J46*H31)+(K46*I31))/F48,0)</f>
        <v>841.87474329902079</v>
      </c>
      <c r="J48" s="46"/>
      <c r="K48" s="22"/>
      <c r="L48" s="22"/>
      <c r="M48" s="22"/>
      <c r="N48" s="22"/>
      <c r="O48" s="22"/>
      <c r="P48" s="22"/>
      <c r="Q48" s="22"/>
      <c r="R48" s="22"/>
      <c r="S48" s="22"/>
      <c r="T48" s="22"/>
    </row>
    <row r="49" spans="2:20" ht="13" x14ac:dyDescent="0.3">
      <c r="B49" s="22"/>
      <c r="C49" s="22"/>
      <c r="D49" s="22"/>
      <c r="E49" s="22"/>
      <c r="F49" s="155"/>
      <c r="G49" s="22"/>
      <c r="H49" s="22"/>
      <c r="I49" s="155"/>
      <c r="J49" s="22"/>
      <c r="K49" s="22"/>
      <c r="L49" s="22"/>
      <c r="M49" s="22"/>
      <c r="N49" s="22"/>
      <c r="O49" s="22"/>
      <c r="P49" s="22"/>
      <c r="Q49" s="22"/>
      <c r="R49" s="22"/>
      <c r="S49" s="22"/>
      <c r="T49" s="22"/>
    </row>
    <row r="50" spans="2:20" x14ac:dyDescent="0.25">
      <c r="B50" s="22"/>
      <c r="C50" s="22"/>
      <c r="D50" s="22"/>
      <c r="E50" s="22"/>
      <c r="F50" s="156"/>
      <c r="G50" s="156"/>
      <c r="H50" s="156"/>
      <c r="I50" s="156"/>
      <c r="J50" s="22"/>
      <c r="K50" s="22"/>
      <c r="L50" s="22"/>
      <c r="M50" s="22"/>
      <c r="N50" s="22"/>
      <c r="O50" s="22"/>
      <c r="P50" s="22"/>
      <c r="Q50" s="22"/>
      <c r="R50" s="22"/>
      <c r="S50" s="22"/>
      <c r="T50" s="22"/>
    </row>
    <row r="51" spans="2:20" ht="13" x14ac:dyDescent="0.3">
      <c r="B51" s="151" t="s">
        <v>25</v>
      </c>
      <c r="C51" s="22"/>
      <c r="D51" s="22"/>
      <c r="E51" s="22"/>
      <c r="F51" s="22"/>
      <c r="G51" s="22"/>
      <c r="H51" s="22"/>
      <c r="I51" s="22"/>
      <c r="J51" s="22"/>
      <c r="K51" s="22"/>
      <c r="L51" s="22"/>
      <c r="M51" s="22"/>
      <c r="N51" s="22"/>
      <c r="O51" s="22"/>
      <c r="P51" s="22"/>
      <c r="Q51" s="22"/>
      <c r="R51" s="22"/>
      <c r="S51" s="22"/>
      <c r="T51" s="22"/>
    </row>
    <row r="52" spans="2:20" ht="13" x14ac:dyDescent="0.3">
      <c r="B52" s="22"/>
      <c r="C52" s="22"/>
      <c r="D52" s="22"/>
      <c r="E52" s="22"/>
      <c r="F52" s="152"/>
      <c r="G52" s="22"/>
      <c r="H52" s="22"/>
      <c r="I52" s="152"/>
      <c r="J52" s="22"/>
      <c r="K52" s="22"/>
      <c r="L52" s="22"/>
      <c r="M52" s="22"/>
      <c r="N52" s="22"/>
      <c r="O52" s="22"/>
      <c r="P52" s="22"/>
      <c r="Q52" s="22"/>
      <c r="R52" s="22"/>
      <c r="S52" s="22"/>
      <c r="T52" s="22"/>
    </row>
    <row r="53" spans="2:20" x14ac:dyDescent="0.25">
      <c r="B53" s="22" t="s">
        <v>26</v>
      </c>
      <c r="C53" s="22"/>
      <c r="D53" s="22"/>
      <c r="E53" s="57"/>
      <c r="F53" s="199">
        <v>0.04</v>
      </c>
      <c r="G53" s="161" t="s">
        <v>27</v>
      </c>
      <c r="H53" s="57"/>
      <c r="I53" s="2">
        <f>E94*F53</f>
        <v>32.2043538124232</v>
      </c>
      <c r="J53" s="46"/>
      <c r="K53" s="22"/>
      <c r="L53" s="22"/>
      <c r="M53" s="22"/>
      <c r="N53" s="22"/>
      <c r="O53" s="22"/>
      <c r="P53" s="22"/>
      <c r="Q53" s="22"/>
      <c r="R53" s="22"/>
      <c r="S53" s="22"/>
      <c r="T53" s="22"/>
    </row>
    <row r="54" spans="2:20" ht="13" x14ac:dyDescent="0.3">
      <c r="B54" s="22"/>
      <c r="C54" s="22"/>
      <c r="D54" s="22"/>
      <c r="E54" s="22"/>
      <c r="F54" s="83"/>
      <c r="G54" s="152"/>
      <c r="H54" s="22"/>
      <c r="I54" s="83"/>
      <c r="J54" s="22"/>
      <c r="K54" s="22"/>
      <c r="L54" s="22"/>
      <c r="M54" s="22"/>
      <c r="N54" s="22"/>
      <c r="O54" s="22"/>
      <c r="P54" s="22"/>
      <c r="Q54" s="22"/>
      <c r="R54" s="22"/>
      <c r="S54" s="22"/>
      <c r="T54" s="22"/>
    </row>
    <row r="55" spans="2:20" ht="13" x14ac:dyDescent="0.3">
      <c r="B55" s="22" t="s">
        <v>28</v>
      </c>
      <c r="C55" s="22"/>
      <c r="D55" s="22"/>
      <c r="E55" s="57"/>
      <c r="F55" s="199">
        <v>0.2</v>
      </c>
      <c r="G55" s="3">
        <f>I53*F55</f>
        <v>6.4408707624846402</v>
      </c>
      <c r="H55" s="162" t="s">
        <v>29</v>
      </c>
      <c r="I55" s="254">
        <v>5000</v>
      </c>
      <c r="J55" s="46"/>
      <c r="K55" s="22"/>
      <c r="L55" s="22"/>
      <c r="M55" s="22"/>
      <c r="N55" s="22"/>
      <c r="O55" s="22"/>
      <c r="P55" s="22"/>
      <c r="Q55" s="22"/>
      <c r="R55" s="22"/>
      <c r="S55" s="22"/>
      <c r="T55" s="22"/>
    </row>
    <row r="56" spans="2:20" ht="13" x14ac:dyDescent="0.3">
      <c r="B56" s="22" t="s">
        <v>30</v>
      </c>
      <c r="C56" s="22"/>
      <c r="D56" s="22"/>
      <c r="E56" s="57"/>
      <c r="F56" s="199">
        <v>0</v>
      </c>
      <c r="G56" s="3">
        <f>F56*I53</f>
        <v>0</v>
      </c>
      <c r="H56" s="162" t="s">
        <v>31</v>
      </c>
      <c r="I56" s="255">
        <f>F31</f>
        <v>843.16624000000002</v>
      </c>
      <c r="J56" s="46"/>
      <c r="K56" s="22"/>
      <c r="L56" s="22"/>
      <c r="M56" s="22"/>
      <c r="N56" s="22"/>
      <c r="O56" s="22"/>
      <c r="P56" s="22"/>
      <c r="Q56" s="22"/>
      <c r="R56" s="22"/>
      <c r="S56" s="22"/>
      <c r="T56" s="22"/>
    </row>
    <row r="57" spans="2:20" ht="13" x14ac:dyDescent="0.3">
      <c r="B57" s="22" t="s">
        <v>32</v>
      </c>
      <c r="C57" s="22"/>
      <c r="D57" s="22"/>
      <c r="E57" s="57"/>
      <c r="F57" s="150" t="s">
        <v>33</v>
      </c>
      <c r="G57" s="3">
        <f>G55+G56-G58</f>
        <v>4.8306530718634804</v>
      </c>
      <c r="H57" s="162" t="s">
        <v>29</v>
      </c>
      <c r="I57" s="252">
        <f>Prices!$L$49</f>
        <v>1220.5</v>
      </c>
      <c r="J57" s="46"/>
      <c r="K57" s="22"/>
      <c r="L57" s="22"/>
      <c r="M57" s="22"/>
      <c r="N57" s="22"/>
      <c r="O57" s="22"/>
      <c r="P57" s="22"/>
      <c r="Q57" s="22"/>
      <c r="R57" s="22"/>
      <c r="S57" s="22"/>
      <c r="T57" s="22"/>
    </row>
    <row r="58" spans="2:20" ht="13" x14ac:dyDescent="0.3">
      <c r="B58" s="22" t="s">
        <v>34</v>
      </c>
      <c r="C58" s="22"/>
      <c r="D58" s="22"/>
      <c r="E58" s="57"/>
      <c r="F58" s="199">
        <v>0.05</v>
      </c>
      <c r="G58" s="3">
        <f>F58*I53</f>
        <v>1.61021769062116</v>
      </c>
      <c r="H58" s="46"/>
      <c r="I58" s="155"/>
      <c r="J58" s="22"/>
      <c r="K58" s="22"/>
      <c r="L58" s="22"/>
      <c r="M58" s="22"/>
      <c r="N58" s="22"/>
      <c r="O58" s="22"/>
      <c r="P58" s="22"/>
      <c r="Q58" s="22"/>
      <c r="R58" s="22"/>
      <c r="S58" s="22"/>
      <c r="T58" s="22"/>
    </row>
    <row r="59" spans="2:20" ht="13" x14ac:dyDescent="0.3">
      <c r="B59" s="22"/>
      <c r="C59" s="22"/>
      <c r="D59" s="22"/>
      <c r="E59" s="22"/>
      <c r="F59" s="155"/>
      <c r="G59" s="155"/>
      <c r="H59" s="22"/>
      <c r="I59" s="152"/>
      <c r="J59" s="22"/>
      <c r="K59" s="22"/>
      <c r="L59" s="22"/>
      <c r="M59" s="22"/>
      <c r="N59" s="22"/>
      <c r="O59" s="22"/>
      <c r="P59" s="22"/>
      <c r="Q59" s="22"/>
      <c r="R59" s="22"/>
      <c r="S59" s="22"/>
      <c r="T59" s="22"/>
    </row>
    <row r="60" spans="2:20" x14ac:dyDescent="0.25">
      <c r="B60" s="22"/>
      <c r="C60" s="22"/>
      <c r="D60" s="22"/>
      <c r="E60" s="22" t="s">
        <v>35</v>
      </c>
      <c r="F60" s="22"/>
      <c r="G60" s="22"/>
      <c r="H60" s="57"/>
      <c r="I60" s="255">
        <f>IF(SUM(G55:G57)&gt;0,((G55*I55)+(G56*I56)+(G57*I57))/SUM(G55:G57),0)</f>
        <v>3380.2142857142853</v>
      </c>
      <c r="J60" s="46"/>
      <c r="K60" s="22"/>
      <c r="L60" s="22"/>
      <c r="M60" s="22"/>
      <c r="N60" s="22"/>
      <c r="O60" s="22"/>
      <c r="P60" s="22"/>
      <c r="Q60" s="22"/>
      <c r="R60" s="22"/>
      <c r="S60" s="22"/>
      <c r="T60" s="22"/>
    </row>
    <row r="61" spans="2:20" x14ac:dyDescent="0.25">
      <c r="B61" s="22"/>
      <c r="C61" s="22"/>
      <c r="D61" s="22"/>
      <c r="E61" s="22" t="s">
        <v>36</v>
      </c>
      <c r="F61" s="22"/>
      <c r="G61" s="22"/>
      <c r="H61" s="57"/>
      <c r="I61" s="255">
        <f>(I55*G55)+(I56*G56)-(I57*G57)</f>
        <v>26308.541738213822</v>
      </c>
      <c r="J61" s="46"/>
      <c r="K61" s="22"/>
      <c r="L61" s="22"/>
      <c r="M61" s="22"/>
      <c r="N61" s="22"/>
      <c r="O61" s="22"/>
      <c r="P61" s="22"/>
      <c r="Q61" s="22"/>
      <c r="R61" s="22"/>
      <c r="S61" s="22"/>
      <c r="T61" s="22"/>
    </row>
    <row r="62" spans="2:20" x14ac:dyDescent="0.25">
      <c r="B62" s="22"/>
      <c r="C62" s="22"/>
      <c r="D62" s="22"/>
      <c r="E62" s="22" t="s">
        <v>37</v>
      </c>
      <c r="F62" s="22"/>
      <c r="G62" s="22"/>
      <c r="H62" s="57"/>
      <c r="I62" s="253">
        <f>IF(E95&gt;0,I61/E95,0)</f>
        <v>56.574814351544532</v>
      </c>
      <c r="J62" s="46"/>
      <c r="K62" s="22"/>
      <c r="L62" s="22"/>
      <c r="M62" s="22"/>
      <c r="N62" s="22"/>
      <c r="O62" s="22"/>
      <c r="P62" s="22"/>
      <c r="Q62" s="22"/>
      <c r="R62" s="22"/>
      <c r="S62" s="22"/>
      <c r="T62" s="22"/>
    </row>
    <row r="63" spans="2:20" ht="13" x14ac:dyDescent="0.3">
      <c r="B63" s="22"/>
      <c r="C63" s="22"/>
      <c r="D63" s="22"/>
      <c r="E63" s="22"/>
      <c r="F63" s="22"/>
      <c r="G63" s="22"/>
      <c r="H63" s="22"/>
      <c r="I63" s="155"/>
      <c r="J63" s="22"/>
      <c r="K63" s="22"/>
      <c r="L63" s="22"/>
      <c r="M63" s="22"/>
      <c r="N63" s="22"/>
      <c r="O63" s="22"/>
      <c r="P63" s="22"/>
      <c r="Q63" s="22"/>
      <c r="R63" s="22"/>
      <c r="S63" s="22"/>
      <c r="T63" s="22"/>
    </row>
    <row r="64" spans="2:20" x14ac:dyDescent="0.25">
      <c r="B64" s="22"/>
      <c r="C64" s="22"/>
      <c r="D64" s="22"/>
      <c r="E64" s="22"/>
      <c r="F64" s="22"/>
      <c r="G64" s="22"/>
      <c r="H64" s="22"/>
      <c r="I64" s="22"/>
      <c r="J64" s="22"/>
      <c r="K64" s="22"/>
      <c r="L64" s="22"/>
      <c r="M64" s="22"/>
      <c r="N64" s="22"/>
      <c r="O64" s="22"/>
      <c r="P64" s="22"/>
      <c r="Q64" s="22"/>
      <c r="R64" s="22"/>
      <c r="S64" s="22"/>
      <c r="T64" s="22"/>
    </row>
    <row r="65" spans="2:20" ht="13" x14ac:dyDescent="0.3">
      <c r="B65" s="151" t="s">
        <v>38</v>
      </c>
      <c r="C65" s="22"/>
      <c r="D65" s="22"/>
      <c r="E65" s="22"/>
      <c r="F65" s="22"/>
      <c r="G65" s="22"/>
      <c r="H65" s="22"/>
      <c r="I65" s="22"/>
      <c r="J65" s="22"/>
      <c r="K65" s="22"/>
      <c r="L65" s="22"/>
      <c r="M65" s="22"/>
      <c r="N65" s="22"/>
      <c r="O65" s="22"/>
      <c r="P65" s="22"/>
      <c r="Q65" s="22"/>
      <c r="R65" s="22"/>
      <c r="S65" s="22"/>
      <c r="T65" s="22"/>
    </row>
    <row r="66" spans="2:20" ht="13" x14ac:dyDescent="0.3">
      <c r="B66" s="22"/>
      <c r="C66" s="22"/>
      <c r="D66" s="22"/>
      <c r="E66" s="22"/>
      <c r="F66" s="152"/>
      <c r="G66" s="22"/>
      <c r="H66" s="22"/>
      <c r="I66" s="22"/>
      <c r="J66" s="22"/>
      <c r="K66" s="22"/>
      <c r="L66" s="22"/>
      <c r="M66" s="22"/>
      <c r="N66" s="22"/>
      <c r="O66" s="22"/>
      <c r="P66" s="22"/>
      <c r="Q66" s="22"/>
      <c r="R66" s="22"/>
      <c r="S66" s="22"/>
      <c r="T66" s="22"/>
    </row>
    <row r="67" spans="2:20" ht="13" x14ac:dyDescent="0.3">
      <c r="B67" s="22" t="s">
        <v>39</v>
      </c>
      <c r="C67" s="22"/>
      <c r="D67" s="22"/>
      <c r="E67" s="57"/>
      <c r="F67" s="598">
        <v>232.51107440439688</v>
      </c>
      <c r="G67" s="163" t="s">
        <v>40</v>
      </c>
      <c r="H67" s="4">
        <f>IF(I120&gt;0,F70/I120*F67,0)</f>
        <v>232.51107440439688</v>
      </c>
      <c r="I67" s="152" t="s">
        <v>41</v>
      </c>
      <c r="J67" s="22"/>
      <c r="K67" s="150"/>
      <c r="L67" s="150"/>
      <c r="M67" s="150"/>
      <c r="N67" s="22"/>
      <c r="O67" s="22"/>
      <c r="P67" s="22"/>
      <c r="Q67" s="22"/>
      <c r="R67" s="22"/>
      <c r="S67" s="22"/>
      <c r="T67" s="22"/>
    </row>
    <row r="68" spans="2:20" ht="13" x14ac:dyDescent="0.3">
      <c r="B68" s="22" t="s">
        <v>42</v>
      </c>
      <c r="C68" s="22"/>
      <c r="D68" s="22"/>
      <c r="E68" s="57"/>
      <c r="F68" s="619">
        <v>2</v>
      </c>
      <c r="G68" s="22"/>
      <c r="H68" s="56" t="s">
        <v>323</v>
      </c>
      <c r="I68" s="199">
        <v>1</v>
      </c>
      <c r="J68" s="46"/>
      <c r="K68" s="72" t="s">
        <v>43</v>
      </c>
      <c r="L68" s="150" t="s">
        <v>252</v>
      </c>
      <c r="M68" s="150"/>
      <c r="N68" s="22"/>
      <c r="O68" s="22"/>
      <c r="P68" s="22"/>
      <c r="Q68" s="22"/>
      <c r="R68" s="22"/>
      <c r="S68" s="22"/>
      <c r="T68" s="22"/>
    </row>
    <row r="69" spans="2:20" ht="13" x14ac:dyDescent="0.3">
      <c r="B69" s="22" t="s">
        <v>328</v>
      </c>
      <c r="C69" s="22"/>
      <c r="D69" s="22"/>
      <c r="E69" s="57"/>
      <c r="F69" s="598">
        <v>11</v>
      </c>
      <c r="G69" s="46"/>
      <c r="H69" s="22"/>
      <c r="I69" s="155"/>
      <c r="J69" s="22"/>
      <c r="K69" s="150"/>
      <c r="L69" s="150" t="s">
        <v>253</v>
      </c>
      <c r="M69" s="150"/>
      <c r="N69" s="22"/>
      <c r="O69" s="22"/>
      <c r="P69" s="22"/>
      <c r="Q69" s="22"/>
      <c r="R69" s="22"/>
      <c r="S69" s="22"/>
      <c r="T69" s="22"/>
    </row>
    <row r="70" spans="2:20" ht="13" x14ac:dyDescent="0.3">
      <c r="B70" s="22" t="s">
        <v>44</v>
      </c>
      <c r="C70" s="22"/>
      <c r="D70" s="22"/>
      <c r="E70" s="57"/>
      <c r="F70" s="598">
        <v>1500</v>
      </c>
      <c r="G70" s="46"/>
      <c r="H70" s="22"/>
      <c r="I70" s="152"/>
      <c r="J70" s="22"/>
      <c r="K70" s="152"/>
      <c r="L70" s="150" t="s">
        <v>254</v>
      </c>
      <c r="M70" s="22"/>
      <c r="N70" s="22"/>
      <c r="O70" s="22"/>
      <c r="P70" s="22"/>
      <c r="Q70" s="22"/>
      <c r="R70" s="22"/>
      <c r="S70" s="22"/>
      <c r="T70" s="22"/>
    </row>
    <row r="71" spans="2:20" ht="13" x14ac:dyDescent="0.3">
      <c r="B71" s="22" t="s">
        <v>255</v>
      </c>
      <c r="C71" s="22"/>
      <c r="D71" s="22"/>
      <c r="E71" s="57"/>
      <c r="F71" s="2">
        <f>E95/2-F67</f>
        <v>0</v>
      </c>
      <c r="G71" s="161"/>
      <c r="H71" s="67" t="s">
        <v>256</v>
      </c>
      <c r="I71" s="200">
        <v>0</v>
      </c>
      <c r="J71" s="162" t="s">
        <v>257</v>
      </c>
      <c r="K71" s="2">
        <f>I71*F71</f>
        <v>0</v>
      </c>
      <c r="L71" s="46"/>
      <c r="M71" s="22"/>
      <c r="N71" s="22"/>
      <c r="O71" s="22"/>
      <c r="P71" s="22"/>
      <c r="Q71" s="22"/>
      <c r="R71" s="22"/>
      <c r="S71" s="22"/>
      <c r="T71" s="22"/>
    </row>
    <row r="72" spans="2:20" ht="13" x14ac:dyDescent="0.3">
      <c r="B72" s="22"/>
      <c r="C72" s="22"/>
      <c r="D72" s="22"/>
      <c r="E72" s="22"/>
      <c r="F72" s="83"/>
      <c r="G72" s="152"/>
      <c r="H72" s="152"/>
      <c r="I72" s="83"/>
      <c r="J72" s="152"/>
      <c r="K72" s="83"/>
      <c r="L72" s="152"/>
      <c r="M72" s="152"/>
      <c r="N72" s="152"/>
      <c r="O72" s="152"/>
      <c r="P72" s="152"/>
      <c r="Q72" s="152"/>
      <c r="R72" s="152"/>
      <c r="S72" s="152"/>
      <c r="T72" s="22"/>
    </row>
    <row r="73" spans="2:20" x14ac:dyDescent="0.25">
      <c r="B73" s="22" t="s">
        <v>45</v>
      </c>
      <c r="C73" s="22"/>
      <c r="D73" s="22"/>
      <c r="E73" s="57"/>
      <c r="F73" s="2">
        <v>1</v>
      </c>
      <c r="G73" s="2">
        <v>2</v>
      </c>
      <c r="H73" s="2">
        <v>3</v>
      </c>
      <c r="I73" s="2">
        <v>4</v>
      </c>
      <c r="J73" s="2">
        <v>5</v>
      </c>
      <c r="K73" s="2">
        <v>6</v>
      </c>
      <c r="L73" s="2">
        <v>7</v>
      </c>
      <c r="M73" s="2">
        <v>8</v>
      </c>
      <c r="N73" s="2">
        <v>9</v>
      </c>
      <c r="O73" s="2">
        <v>10</v>
      </c>
      <c r="P73" s="2">
        <v>11</v>
      </c>
      <c r="Q73" s="2">
        <v>12</v>
      </c>
      <c r="R73" s="2">
        <v>13</v>
      </c>
      <c r="S73" s="12">
        <v>14</v>
      </c>
      <c r="T73" s="22"/>
    </row>
    <row r="74" spans="2:20" x14ac:dyDescent="0.25">
      <c r="B74" s="22" t="s">
        <v>46</v>
      </c>
      <c r="C74" s="22"/>
      <c r="D74" s="22"/>
      <c r="E74" s="57"/>
      <c r="F74" s="2">
        <v>2</v>
      </c>
      <c r="G74" s="2">
        <v>3</v>
      </c>
      <c r="H74" s="2">
        <v>4</v>
      </c>
      <c r="I74" s="2">
        <v>5</v>
      </c>
      <c r="J74" s="2">
        <v>6</v>
      </c>
      <c r="K74" s="2">
        <v>7</v>
      </c>
      <c r="L74" s="2">
        <v>8</v>
      </c>
      <c r="M74" s="2">
        <v>9</v>
      </c>
      <c r="N74" s="2">
        <v>10</v>
      </c>
      <c r="O74" s="2">
        <v>11</v>
      </c>
      <c r="P74" s="2">
        <v>12</v>
      </c>
      <c r="Q74" s="2">
        <v>13</v>
      </c>
      <c r="R74" s="2">
        <v>14</v>
      </c>
      <c r="S74" s="13">
        <v>15</v>
      </c>
      <c r="T74" s="22"/>
    </row>
    <row r="75" spans="2:20" ht="13" x14ac:dyDescent="0.3">
      <c r="B75" s="52"/>
      <c r="C75" s="22"/>
      <c r="D75" s="22"/>
      <c r="E75" s="22"/>
      <c r="F75" s="83"/>
      <c r="G75" s="83"/>
      <c r="H75" s="83"/>
      <c r="I75" s="83"/>
      <c r="J75" s="83"/>
      <c r="K75" s="83"/>
      <c r="L75" s="83"/>
      <c r="M75" s="83"/>
      <c r="N75" s="83"/>
      <c r="O75" s="83"/>
      <c r="P75" s="83"/>
      <c r="Q75" s="83"/>
      <c r="R75" s="83"/>
      <c r="S75" s="83"/>
      <c r="T75" s="22"/>
    </row>
    <row r="76" spans="2:20" x14ac:dyDescent="0.25">
      <c r="B76" s="22" t="s">
        <v>47</v>
      </c>
      <c r="C76" s="22"/>
      <c r="D76" s="22"/>
      <c r="E76" s="57"/>
      <c r="F76" s="2">
        <f>F67*(1-E17)</f>
        <v>226.69829754428696</v>
      </c>
      <c r="G76" s="2">
        <f t="shared" ref="G76:S76" si="0">(F76-F80-F83)*(1-F17)</f>
        <v>221.03084010567977</v>
      </c>
      <c r="H76" s="2">
        <f t="shared" si="0"/>
        <v>103.29292491994136</v>
      </c>
      <c r="I76" s="2">
        <f t="shared" si="0"/>
        <v>95.171518698110972</v>
      </c>
      <c r="J76" s="2">
        <f t="shared" si="0"/>
        <v>90.008463808738455</v>
      </c>
      <c r="K76" s="2">
        <f t="shared" si="0"/>
        <v>85.125504647114397</v>
      </c>
      <c r="L76" s="2">
        <f t="shared" si="0"/>
        <v>80.507446020008445</v>
      </c>
      <c r="M76" s="2">
        <f t="shared" si="0"/>
        <v>76.139917073422978</v>
      </c>
      <c r="N76" s="2">
        <f t="shared" si="0"/>
        <v>71.638144476456844</v>
      </c>
      <c r="O76" s="2">
        <f t="shared" si="0"/>
        <v>67.40253918428634</v>
      </c>
      <c r="P76" s="2">
        <f t="shared" si="0"/>
        <v>63.08877667649201</v>
      </c>
      <c r="Q76" s="2">
        <f t="shared" si="0"/>
        <v>0</v>
      </c>
      <c r="R76" s="2">
        <f t="shared" si="0"/>
        <v>0</v>
      </c>
      <c r="S76" s="12">
        <f t="shared" si="0"/>
        <v>0</v>
      </c>
      <c r="T76" s="22"/>
    </row>
    <row r="77" spans="2:20" x14ac:dyDescent="0.25">
      <c r="B77" s="22" t="s">
        <v>48</v>
      </c>
      <c r="C77" s="22"/>
      <c r="D77" s="22"/>
      <c r="E77" s="57"/>
      <c r="F77" s="199">
        <v>0</v>
      </c>
      <c r="G77" s="199">
        <v>0.38550481725735458</v>
      </c>
      <c r="H77" s="199">
        <v>0</v>
      </c>
      <c r="I77" s="199">
        <v>0</v>
      </c>
      <c r="J77" s="199">
        <v>0</v>
      </c>
      <c r="K77" s="199">
        <v>0</v>
      </c>
      <c r="L77" s="199">
        <v>0</v>
      </c>
      <c r="M77" s="199">
        <v>0</v>
      </c>
      <c r="N77" s="199">
        <v>0</v>
      </c>
      <c r="O77" s="199">
        <v>0</v>
      </c>
      <c r="P77" s="199">
        <v>0</v>
      </c>
      <c r="Q77" s="199">
        <v>0</v>
      </c>
      <c r="R77" s="199">
        <v>0</v>
      </c>
      <c r="S77" s="56" t="s">
        <v>5</v>
      </c>
      <c r="T77" s="22"/>
    </row>
    <row r="78" spans="2:20" x14ac:dyDescent="0.25">
      <c r="B78" s="22" t="s">
        <v>352</v>
      </c>
      <c r="C78" s="22"/>
      <c r="D78" s="22"/>
      <c r="E78" s="57"/>
      <c r="F78" s="199">
        <v>0</v>
      </c>
      <c r="G78" s="199">
        <v>0</v>
      </c>
      <c r="H78" s="199">
        <v>0</v>
      </c>
      <c r="I78" s="199">
        <v>0</v>
      </c>
      <c r="J78" s="199">
        <v>0</v>
      </c>
      <c r="K78" s="199">
        <v>0</v>
      </c>
      <c r="L78" s="199">
        <v>0</v>
      </c>
      <c r="M78" s="199">
        <v>0</v>
      </c>
      <c r="N78" s="199">
        <v>0</v>
      </c>
      <c r="O78" s="199">
        <v>0</v>
      </c>
      <c r="P78" s="199">
        <v>0</v>
      </c>
      <c r="Q78" s="199">
        <v>0</v>
      </c>
      <c r="R78" s="199">
        <v>0</v>
      </c>
      <c r="S78" s="56" t="s">
        <v>5</v>
      </c>
      <c r="T78" s="22"/>
    </row>
    <row r="79" spans="2:20" x14ac:dyDescent="0.25">
      <c r="B79" s="22" t="s">
        <v>49</v>
      </c>
      <c r="C79" s="22"/>
      <c r="D79" s="22"/>
      <c r="E79" s="57"/>
      <c r="F79" s="199">
        <v>0</v>
      </c>
      <c r="G79" s="199">
        <v>0.21999999999999995</v>
      </c>
      <c r="H79" s="199">
        <v>5.5000000000000007E-2</v>
      </c>
      <c r="I79" s="199">
        <v>3.0000000000000002E-2</v>
      </c>
      <c r="J79" s="199">
        <v>3.0000000000000009E-2</v>
      </c>
      <c r="K79" s="199">
        <v>3.0000000000000002E-2</v>
      </c>
      <c r="L79" s="199">
        <v>3.0000000000000002E-2</v>
      </c>
      <c r="M79" s="199">
        <v>3.5000000000000003E-2</v>
      </c>
      <c r="N79" s="199">
        <v>3.5000000000000003E-2</v>
      </c>
      <c r="O79" s="199">
        <v>0.04</v>
      </c>
      <c r="P79" s="199">
        <v>0</v>
      </c>
      <c r="Q79" s="199">
        <v>0</v>
      </c>
      <c r="R79" s="199">
        <v>0</v>
      </c>
      <c r="S79" s="56" t="s">
        <v>5</v>
      </c>
      <c r="T79" s="22"/>
    </row>
    <row r="80" spans="2:20" x14ac:dyDescent="0.25">
      <c r="B80" s="22" t="s">
        <v>50</v>
      </c>
      <c r="C80" s="22"/>
      <c r="D80" s="22"/>
      <c r="E80" s="57"/>
      <c r="F80" s="2">
        <f>IF(F73=ROUND($F$69,0),F76*(1-F78),(F77*F76)+(IF(AND(F77+F78&lt;1,$F$68&lt;F74),F76*F79*I68*(1-F77-F78),0)))</f>
        <v>0</v>
      </c>
      <c r="G80" s="2">
        <f>IF(G73=ROUND($F$69,0),G76*(1-G78),(G77*G76)+(IF(AND(G77+G78&lt;1,$F$68&lt;G74),G76*G79*(1-G77-G78),0)))</f>
        <v>115.08937864932966</v>
      </c>
      <c r="H80" s="2">
        <f>IF(H73=ROUND($F$69,0),H76*(1-H78),(H77*H76)+(IF(AND(H77+H78&lt;1,$F$68&lt;H74),H76*H79*(1-H77-H78),0)))</f>
        <v>5.6811108705967754</v>
      </c>
      <c r="I80" s="2">
        <f t="shared" ref="I80:R80" si="1">IF(I73=ROUND($F$69,0),I76*(1-I78),(I77*I76)+(IF(I77+I78&lt;1,I76*I79*(1-I77-I78),0)))</f>
        <v>2.8551455609433294</v>
      </c>
      <c r="J80" s="2">
        <f t="shared" si="1"/>
        <v>2.7002539142621544</v>
      </c>
      <c r="K80" s="2">
        <f t="shared" si="1"/>
        <v>2.5537651394134322</v>
      </c>
      <c r="L80" s="2">
        <f t="shared" si="1"/>
        <v>2.4152233806002537</v>
      </c>
      <c r="M80" s="2">
        <f t="shared" si="1"/>
        <v>2.6648970975698045</v>
      </c>
      <c r="N80" s="2">
        <f t="shared" si="1"/>
        <v>2.50733505667599</v>
      </c>
      <c r="O80" s="2">
        <f t="shared" si="1"/>
        <v>2.6961015673714535</v>
      </c>
      <c r="P80" s="2">
        <f t="shared" si="1"/>
        <v>63.08877667649201</v>
      </c>
      <c r="Q80" s="2">
        <f t="shared" si="1"/>
        <v>0</v>
      </c>
      <c r="R80" s="2">
        <f t="shared" si="1"/>
        <v>0</v>
      </c>
      <c r="S80" s="13">
        <f>S76</f>
        <v>0</v>
      </c>
      <c r="T80" s="22"/>
    </row>
    <row r="81" spans="2:20" ht="13" x14ac:dyDescent="0.3">
      <c r="B81" s="52"/>
      <c r="C81" s="22"/>
      <c r="D81" s="22"/>
      <c r="E81" s="22"/>
      <c r="F81" s="83"/>
      <c r="G81" s="83"/>
      <c r="H81" s="83"/>
      <c r="I81" s="83"/>
      <c r="J81" s="83"/>
      <c r="K81" s="83"/>
      <c r="L81" s="83"/>
      <c r="M81" s="83"/>
      <c r="N81" s="83"/>
      <c r="O81" s="83"/>
      <c r="P81" s="83"/>
      <c r="Q81" s="83"/>
      <c r="R81" s="83"/>
      <c r="S81" s="83"/>
      <c r="T81" s="22"/>
    </row>
    <row r="82" spans="2:20" x14ac:dyDescent="0.25">
      <c r="B82" s="22" t="s">
        <v>393</v>
      </c>
      <c r="C82" s="22"/>
      <c r="D82" s="22"/>
      <c r="E82" s="57"/>
      <c r="F82" s="2">
        <f>K71*(1-E18)</f>
        <v>0</v>
      </c>
      <c r="G82" s="2">
        <f t="shared" ref="G82:S82" si="2">(F82+F83-F85)*(1-F18)</f>
        <v>0</v>
      </c>
      <c r="H82" s="2">
        <f t="shared" si="2"/>
        <v>0</v>
      </c>
      <c r="I82" s="2">
        <f t="shared" si="2"/>
        <v>0</v>
      </c>
      <c r="J82" s="2">
        <f t="shared" si="2"/>
        <v>0</v>
      </c>
      <c r="K82" s="2">
        <f t="shared" si="2"/>
        <v>0</v>
      </c>
      <c r="L82" s="2">
        <f t="shared" si="2"/>
        <v>0</v>
      </c>
      <c r="M82" s="2">
        <f t="shared" si="2"/>
        <v>0</v>
      </c>
      <c r="N82" s="2">
        <f t="shared" si="2"/>
        <v>0</v>
      </c>
      <c r="O82" s="2">
        <f t="shared" si="2"/>
        <v>0</v>
      </c>
      <c r="P82" s="2">
        <f t="shared" si="2"/>
        <v>0</v>
      </c>
      <c r="Q82" s="2">
        <f t="shared" si="2"/>
        <v>0</v>
      </c>
      <c r="R82" s="2">
        <f t="shared" si="2"/>
        <v>0</v>
      </c>
      <c r="S82" s="12">
        <f t="shared" si="2"/>
        <v>0</v>
      </c>
      <c r="T82" s="22"/>
    </row>
    <row r="83" spans="2:20" x14ac:dyDescent="0.25">
      <c r="B83" s="22" t="s">
        <v>394</v>
      </c>
      <c r="C83" s="22"/>
      <c r="D83" s="22"/>
      <c r="E83" s="57"/>
      <c r="F83" s="2">
        <f t="shared" ref="F83:R83" si="3">IF(F78&lt;1-F77,F78*F76,(1-F77)*F76)</f>
        <v>0</v>
      </c>
      <c r="G83" s="2">
        <f t="shared" si="3"/>
        <v>0</v>
      </c>
      <c r="H83" s="2">
        <f t="shared" si="3"/>
        <v>0</v>
      </c>
      <c r="I83" s="2">
        <f t="shared" si="3"/>
        <v>0</v>
      </c>
      <c r="J83" s="2">
        <f t="shared" si="3"/>
        <v>0</v>
      </c>
      <c r="K83" s="2">
        <f t="shared" si="3"/>
        <v>0</v>
      </c>
      <c r="L83" s="2">
        <f t="shared" si="3"/>
        <v>0</v>
      </c>
      <c r="M83" s="2">
        <f t="shared" si="3"/>
        <v>0</v>
      </c>
      <c r="N83" s="2">
        <f t="shared" si="3"/>
        <v>0</v>
      </c>
      <c r="O83" s="2">
        <f t="shared" si="3"/>
        <v>0</v>
      </c>
      <c r="P83" s="2">
        <f t="shared" si="3"/>
        <v>0</v>
      </c>
      <c r="Q83" s="2">
        <f t="shared" si="3"/>
        <v>0</v>
      </c>
      <c r="R83" s="2">
        <f t="shared" si="3"/>
        <v>0</v>
      </c>
      <c r="S83" s="56" t="s">
        <v>5</v>
      </c>
      <c r="T83" s="22"/>
    </row>
    <row r="84" spans="2:20" x14ac:dyDescent="0.25">
      <c r="B84" s="22" t="s">
        <v>395</v>
      </c>
      <c r="C84" s="22"/>
      <c r="D84" s="22"/>
      <c r="E84" s="57"/>
      <c r="F84" s="199">
        <v>1</v>
      </c>
      <c r="G84" s="199">
        <v>1</v>
      </c>
      <c r="H84" s="199">
        <v>1</v>
      </c>
      <c r="I84" s="199">
        <v>1</v>
      </c>
      <c r="J84" s="199">
        <v>1</v>
      </c>
      <c r="K84" s="199">
        <v>1</v>
      </c>
      <c r="L84" s="199">
        <v>1</v>
      </c>
      <c r="M84" s="199">
        <v>1</v>
      </c>
      <c r="N84" s="199">
        <v>1</v>
      </c>
      <c r="O84" s="199">
        <v>1</v>
      </c>
      <c r="P84" s="199">
        <v>1</v>
      </c>
      <c r="Q84" s="199">
        <v>1</v>
      </c>
      <c r="R84" s="199">
        <v>1</v>
      </c>
      <c r="S84" s="14">
        <v>1</v>
      </c>
      <c r="T84" s="22"/>
    </row>
    <row r="85" spans="2:20" x14ac:dyDescent="0.25">
      <c r="B85" s="22" t="s">
        <v>396</v>
      </c>
      <c r="C85" s="22"/>
      <c r="D85" s="22"/>
      <c r="E85" s="57"/>
      <c r="F85" s="2">
        <f t="shared" ref="F85:S85" si="4">F84*F82</f>
        <v>0</v>
      </c>
      <c r="G85" s="2">
        <f t="shared" si="4"/>
        <v>0</v>
      </c>
      <c r="H85" s="2">
        <f t="shared" si="4"/>
        <v>0</v>
      </c>
      <c r="I85" s="2">
        <f t="shared" si="4"/>
        <v>0</v>
      </c>
      <c r="J85" s="2">
        <f t="shared" si="4"/>
        <v>0</v>
      </c>
      <c r="K85" s="2">
        <f t="shared" si="4"/>
        <v>0</v>
      </c>
      <c r="L85" s="2">
        <f t="shared" si="4"/>
        <v>0</v>
      </c>
      <c r="M85" s="2">
        <f t="shared" si="4"/>
        <v>0</v>
      </c>
      <c r="N85" s="2">
        <f t="shared" si="4"/>
        <v>0</v>
      </c>
      <c r="O85" s="2">
        <f t="shared" si="4"/>
        <v>0</v>
      </c>
      <c r="P85" s="2">
        <f t="shared" si="4"/>
        <v>0</v>
      </c>
      <c r="Q85" s="2">
        <f t="shared" si="4"/>
        <v>0</v>
      </c>
      <c r="R85" s="2">
        <f t="shared" si="4"/>
        <v>0</v>
      </c>
      <c r="S85" s="13">
        <f t="shared" si="4"/>
        <v>0</v>
      </c>
      <c r="T85" s="22"/>
    </row>
    <row r="86" spans="2:20" ht="13" x14ac:dyDescent="0.3">
      <c r="B86" s="52" t="s">
        <v>258</v>
      </c>
      <c r="C86" s="22"/>
      <c r="D86" s="22"/>
      <c r="E86" s="22"/>
      <c r="F86" s="83"/>
      <c r="G86" s="83"/>
      <c r="H86" s="83"/>
      <c r="I86" s="83"/>
      <c r="J86" s="83"/>
      <c r="K86" s="83"/>
      <c r="L86" s="83"/>
      <c r="M86" s="83"/>
      <c r="N86" s="83"/>
      <c r="O86" s="83"/>
      <c r="P86" s="83"/>
      <c r="Q86" s="83"/>
      <c r="R86" s="83"/>
      <c r="S86" s="83"/>
      <c r="T86" s="22"/>
    </row>
    <row r="87" spans="2:20" x14ac:dyDescent="0.25">
      <c r="B87" s="22" t="s">
        <v>51</v>
      </c>
      <c r="C87" s="22"/>
      <c r="D87" s="22"/>
      <c r="E87" s="57"/>
      <c r="F87" s="2">
        <f>IF($F$68&lt;2,IF($I$68&gt;0,(F76*(1-F77)-F83)*$I$68,0),0)</f>
        <v>0</v>
      </c>
      <c r="G87" s="2">
        <f>IF($F$68&lt;3,G76*(1-G77)-G83,0)</f>
        <v>135.82238648250015</v>
      </c>
      <c r="H87" s="2">
        <f t="shared" ref="H87:O87" si="5">IF(ROUND($F69,0)=H73,H79*H76,H76-(H77*H76)-H83)</f>
        <v>103.29292491994136</v>
      </c>
      <c r="I87" s="2">
        <f t="shared" si="5"/>
        <v>95.171518698110972</v>
      </c>
      <c r="J87" s="2">
        <f t="shared" si="5"/>
        <v>90.008463808738455</v>
      </c>
      <c r="K87" s="2">
        <f t="shared" si="5"/>
        <v>85.125504647114397</v>
      </c>
      <c r="L87" s="2">
        <f t="shared" si="5"/>
        <v>80.507446020008445</v>
      </c>
      <c r="M87" s="2">
        <f t="shared" si="5"/>
        <v>76.139917073422978</v>
      </c>
      <c r="N87" s="2">
        <f t="shared" si="5"/>
        <v>71.638144476456844</v>
      </c>
      <c r="O87" s="2">
        <f t="shared" si="5"/>
        <v>67.40253918428634</v>
      </c>
      <c r="P87" s="25">
        <f>IF(ROUND($F69,0)=P73,P79*P76,P76-(P77*P76)-P83)</f>
        <v>0</v>
      </c>
      <c r="Q87" s="25">
        <f>IF(ROUND($F69,0)=Q73,Q79*Q76,Q76-(Q77*Q76)-Q83)</f>
        <v>0</v>
      </c>
      <c r="R87" s="25">
        <f>IF(ROUND($F69,0)=R73,R79*R76,R76-(R77*R76)-R83)</f>
        <v>0</v>
      </c>
      <c r="S87" s="164" t="s">
        <v>5</v>
      </c>
      <c r="T87" s="22"/>
    </row>
    <row r="88" spans="2:20" x14ac:dyDescent="0.25">
      <c r="B88" s="22" t="s">
        <v>52</v>
      </c>
      <c r="C88" s="22"/>
      <c r="D88" s="22"/>
      <c r="E88" s="57"/>
      <c r="F88" s="2">
        <f t="shared" ref="F88:R88" si="6">IF(F73&lt;$F$69,F87*(1-F79),0)</f>
        <v>0</v>
      </c>
      <c r="G88" s="2">
        <f t="shared" si="6"/>
        <v>105.94146145635013</v>
      </c>
      <c r="H88" s="2">
        <f t="shared" si="6"/>
        <v>97.611814049344574</v>
      </c>
      <c r="I88" s="2">
        <f t="shared" si="6"/>
        <v>92.316373137167645</v>
      </c>
      <c r="J88" s="2">
        <f t="shared" si="6"/>
        <v>87.308209894476292</v>
      </c>
      <c r="K88" s="2">
        <f t="shared" si="6"/>
        <v>82.571739507700968</v>
      </c>
      <c r="L88" s="2">
        <f t="shared" si="6"/>
        <v>78.092222639408192</v>
      </c>
      <c r="M88" s="2">
        <f t="shared" si="6"/>
        <v>73.475019975853172</v>
      </c>
      <c r="N88" s="2">
        <f t="shared" si="6"/>
        <v>69.130809419780846</v>
      </c>
      <c r="O88" s="2">
        <f t="shared" si="6"/>
        <v>64.706437616914883</v>
      </c>
      <c r="P88" s="2">
        <f t="shared" si="6"/>
        <v>0</v>
      </c>
      <c r="Q88" s="2">
        <f t="shared" si="6"/>
        <v>0</v>
      </c>
      <c r="R88" s="2">
        <f t="shared" si="6"/>
        <v>0</v>
      </c>
      <c r="S88" s="56" t="s">
        <v>5</v>
      </c>
      <c r="T88" s="22"/>
    </row>
    <row r="89" spans="2:20" x14ac:dyDescent="0.25">
      <c r="B89" s="22" t="s">
        <v>53</v>
      </c>
      <c r="C89" s="22"/>
      <c r="D89" s="22"/>
      <c r="E89" s="57"/>
      <c r="F89" s="2">
        <f>F88*F16</f>
        <v>0</v>
      </c>
      <c r="G89" s="2">
        <f>IF(F68&gt;2,0,G88*G16)</f>
        <v>88.567061777508712</v>
      </c>
      <c r="H89" s="2">
        <f t="shared" ref="H89:R89" si="7">H88*H16</f>
        <v>42.066043673646107</v>
      </c>
      <c r="I89" s="2">
        <f t="shared" si="7"/>
        <v>58.758895644213723</v>
      </c>
      <c r="J89" s="2">
        <f t="shared" si="7"/>
        <v>55.571225555515099</v>
      </c>
      <c r="K89" s="2">
        <f t="shared" si="7"/>
        <v>52.556486569128424</v>
      </c>
      <c r="L89" s="2">
        <f t="shared" si="7"/>
        <v>49.705297172753212</v>
      </c>
      <c r="M89" s="2">
        <f t="shared" si="7"/>
        <v>42.710686482336619</v>
      </c>
      <c r="N89" s="2">
        <f t="shared" si="7"/>
        <v>40.18541714406846</v>
      </c>
      <c r="O89" s="2">
        <f t="shared" si="7"/>
        <v>34.901034789623466</v>
      </c>
      <c r="P89" s="2">
        <f t="shared" si="7"/>
        <v>0</v>
      </c>
      <c r="Q89" s="2">
        <f t="shared" si="7"/>
        <v>0</v>
      </c>
      <c r="R89" s="2">
        <f t="shared" si="7"/>
        <v>0</v>
      </c>
      <c r="S89" s="165" t="s">
        <v>5</v>
      </c>
      <c r="T89" s="22"/>
    </row>
    <row r="90" spans="2:20" ht="13" x14ac:dyDescent="0.3">
      <c r="B90" s="22"/>
      <c r="C90" s="22"/>
      <c r="D90" s="22"/>
      <c r="E90" s="152"/>
      <c r="F90" s="155"/>
      <c r="G90" s="155"/>
      <c r="H90" s="155"/>
      <c r="I90" s="83"/>
      <c r="J90" s="155"/>
      <c r="K90" s="155"/>
      <c r="L90" s="155"/>
      <c r="M90" s="83"/>
      <c r="N90" s="155"/>
      <c r="O90" s="155"/>
      <c r="P90" s="83"/>
      <c r="Q90" s="155"/>
      <c r="R90" s="155"/>
      <c r="S90" s="155"/>
      <c r="T90" s="22"/>
    </row>
    <row r="91" spans="2:20" x14ac:dyDescent="0.25">
      <c r="B91" s="22" t="s">
        <v>54</v>
      </c>
      <c r="C91" s="22"/>
      <c r="D91" s="57"/>
      <c r="E91" s="2">
        <f>P91</f>
        <v>202.25198791325485</v>
      </c>
      <c r="F91" s="46" t="s">
        <v>259</v>
      </c>
      <c r="G91" s="22"/>
      <c r="H91" s="57"/>
      <c r="I91" s="5">
        <f>IF(E95&gt;0,F71/(E95/2),0)</f>
        <v>0</v>
      </c>
      <c r="J91" s="46" t="s">
        <v>55</v>
      </c>
      <c r="K91" s="22"/>
      <c r="L91" s="57"/>
      <c r="M91" s="253">
        <f>IF(P91=0,0,(M92*P92+M93*P93)/P91)</f>
        <v>671.27412121566022</v>
      </c>
      <c r="N91" s="46" t="s">
        <v>56</v>
      </c>
      <c r="O91" s="57"/>
      <c r="P91" s="2">
        <f>P92+P93</f>
        <v>202.25198791325485</v>
      </c>
      <c r="Q91" s="46"/>
      <c r="R91" s="22"/>
      <c r="S91" s="22"/>
      <c r="T91" s="22"/>
    </row>
    <row r="92" spans="2:20" x14ac:dyDescent="0.25">
      <c r="B92" s="22"/>
      <c r="C92" s="22"/>
      <c r="D92" s="22"/>
      <c r="E92" s="83"/>
      <c r="F92" s="22" t="s">
        <v>260</v>
      </c>
      <c r="G92" s="22"/>
      <c r="H92" s="57"/>
      <c r="I92" s="5">
        <f>IF(P91+F48+H45&gt;0,P91/(P91+F48+H45),0)</f>
        <v>0.47888037419442697</v>
      </c>
      <c r="J92" s="46" t="s">
        <v>353</v>
      </c>
      <c r="K92" s="22"/>
      <c r="L92" s="57"/>
      <c r="M92" s="253">
        <f>IF(P92=0,0,((F71*(1-I71)*D29)+(F80*E29)+(G80*F29)+(H80*G29)+(I80*H29)+(J80*I29)+(K80*J29)+(L80*K29)+(M80*L29)+(N80*M29)+(O80*N29)+(P80*O29)+(Q80*P29)+(R80*Q29)+(S80*R29))/P92)</f>
        <v>671.27412121566022</v>
      </c>
      <c r="N92" s="46" t="s">
        <v>354</v>
      </c>
      <c r="O92" s="57"/>
      <c r="P92" s="2">
        <f>SUM(F80:S80)+F71-K71</f>
        <v>202.25198791325485</v>
      </c>
      <c r="Q92" s="46"/>
      <c r="R92" s="22"/>
      <c r="S92" s="22"/>
      <c r="T92" s="22"/>
    </row>
    <row r="93" spans="2:20" x14ac:dyDescent="0.25">
      <c r="B93" s="22" t="s">
        <v>397</v>
      </c>
      <c r="C93" s="22"/>
      <c r="D93" s="57"/>
      <c r="E93" s="2">
        <f>SUM(F83:R83)+K71</f>
        <v>0</v>
      </c>
      <c r="F93" s="46" t="s">
        <v>261</v>
      </c>
      <c r="G93" s="22"/>
      <c r="H93" s="57"/>
      <c r="I93" s="5">
        <f>IF(E120=0,0,(F48+G57+E91)/E120)</f>
        <v>0.24559375839451844</v>
      </c>
      <c r="J93" s="46" t="s">
        <v>398</v>
      </c>
      <c r="K93" s="22"/>
      <c r="L93" s="57"/>
      <c r="M93" s="253">
        <f>IF(P93=0,0,((F85*E30)+(G85*F30)+(H85*G30)+(I85*H30)+(J85*I30)+(K85*J30)+(L85*K30)+(M85*L30)+(N85*M30)+(O85*N30)+(P85*O30)+(Q85*P30)+(R85*Q30)+(S85*R30))/P93)</f>
        <v>0</v>
      </c>
      <c r="N93" s="46" t="s">
        <v>399</v>
      </c>
      <c r="O93" s="57"/>
      <c r="P93" s="2">
        <f>SUM(F85:S85)</f>
        <v>0</v>
      </c>
      <c r="Q93" s="46"/>
      <c r="R93" s="22"/>
      <c r="S93" s="22"/>
      <c r="T93" s="22"/>
    </row>
    <row r="94" spans="2:20" x14ac:dyDescent="0.25">
      <c r="B94" s="22" t="s">
        <v>57</v>
      </c>
      <c r="C94" s="22"/>
      <c r="D94" s="57"/>
      <c r="E94" s="2">
        <f>SUM(F87:R87)</f>
        <v>805.10884531058002</v>
      </c>
      <c r="F94" s="46" t="s">
        <v>262</v>
      </c>
      <c r="G94" s="22"/>
      <c r="H94" s="57"/>
      <c r="I94" s="5">
        <f>IF(E94&gt;0,E95/E94,0)</f>
        <v>0.57758916886499501</v>
      </c>
      <c r="J94" s="46"/>
      <c r="K94" s="22"/>
      <c r="L94" s="22"/>
      <c r="M94" s="83"/>
      <c r="N94" s="22"/>
      <c r="O94" s="22"/>
      <c r="P94" s="83"/>
      <c r="Q94" s="22"/>
      <c r="R94" s="22"/>
      <c r="S94" s="22"/>
      <c r="T94" s="22"/>
    </row>
    <row r="95" spans="2:20" x14ac:dyDescent="0.25">
      <c r="B95" s="22" t="s">
        <v>58</v>
      </c>
      <c r="C95" s="22"/>
      <c r="D95" s="57"/>
      <c r="E95" s="2">
        <f>SUM(F89:R89)</f>
        <v>465.02214880879376</v>
      </c>
      <c r="F95" s="46" t="s">
        <v>263</v>
      </c>
      <c r="G95" s="22"/>
      <c r="H95" s="57"/>
      <c r="I95" s="5">
        <f>IF(E96-M95&gt;0,E95/(E96-M95),0)</f>
        <v>0.63495067318656062</v>
      </c>
      <c r="J95" s="46" t="s">
        <v>59</v>
      </c>
      <c r="K95" s="22"/>
      <c r="L95" s="57"/>
      <c r="M95" s="2">
        <f>SUM(H88:R88)-SUM(I76:S76)+(F88*F17)+(G88*G17)</f>
        <v>18.778852192424889</v>
      </c>
      <c r="N95" s="46" t="s">
        <v>400</v>
      </c>
      <c r="O95" s="57"/>
      <c r="P95" s="2">
        <f>E93-P93</f>
        <v>0</v>
      </c>
      <c r="Q95" s="46"/>
      <c r="R95" s="22"/>
      <c r="S95" s="22"/>
      <c r="T95" s="22"/>
    </row>
    <row r="96" spans="2:20" x14ac:dyDescent="0.25">
      <c r="B96" s="22" t="s">
        <v>60</v>
      </c>
      <c r="C96" s="22"/>
      <c r="D96" s="57"/>
      <c r="E96" s="2">
        <f>SUM(F88:R88)</f>
        <v>751.15408769699673</v>
      </c>
      <c r="F96" s="46" t="s">
        <v>264</v>
      </c>
      <c r="G96" s="22"/>
      <c r="H96" s="57"/>
      <c r="I96" s="5">
        <f>IF(E96&gt;0,E95/E96,0)</f>
        <v>0.61907690635689661</v>
      </c>
      <c r="J96" s="46" t="s">
        <v>61</v>
      </c>
      <c r="K96" s="22"/>
      <c r="L96" s="57"/>
      <c r="M96" s="5">
        <f>IF(E96&gt;0,M95/E96,0)</f>
        <v>2.499999999999996E-2</v>
      </c>
      <c r="N96" s="46" t="s">
        <v>401</v>
      </c>
      <c r="O96" s="57"/>
      <c r="P96" s="584">
        <f>IF(E93=0,0,P95/(K71+SUM(F82:S83)-SUM(F85:S85)))</f>
        <v>0</v>
      </c>
      <c r="Q96" s="46"/>
      <c r="R96" s="22"/>
      <c r="S96" s="22"/>
      <c r="T96" s="22"/>
    </row>
    <row r="97" spans="2:20" ht="13" x14ac:dyDescent="0.3">
      <c r="B97" s="22"/>
      <c r="C97" s="22"/>
      <c r="D97" s="22"/>
      <c r="E97" s="155"/>
      <c r="F97" s="22"/>
      <c r="G97" s="22"/>
      <c r="H97" s="22"/>
      <c r="I97" s="155"/>
      <c r="J97" s="22" t="s">
        <v>671</v>
      </c>
      <c r="L97" s="22"/>
      <c r="M97" s="583">
        <f>(M95+(F42-F48)+G58)/E120</f>
        <v>1.886258628200959E-2</v>
      </c>
      <c r="Q97" s="22"/>
      <c r="R97" s="22"/>
      <c r="S97" s="22"/>
      <c r="T97" s="22"/>
    </row>
    <row r="98" spans="2:20" ht="13" x14ac:dyDescent="0.3">
      <c r="B98" s="72" t="s">
        <v>62</v>
      </c>
      <c r="C98" s="150" t="s">
        <v>63</v>
      </c>
      <c r="D98" s="22"/>
      <c r="E98" s="22"/>
      <c r="F98" s="156"/>
      <c r="G98" s="156"/>
      <c r="H98" s="156"/>
      <c r="I98" s="156"/>
      <c r="J98" s="22"/>
      <c r="K98" s="150"/>
      <c r="L98" s="150"/>
      <c r="M98" s="22"/>
      <c r="N98" s="22"/>
      <c r="O98" s="22"/>
      <c r="P98" s="22"/>
      <c r="Q98" s="22"/>
      <c r="R98" s="22"/>
      <c r="S98" s="22"/>
      <c r="T98" s="22"/>
    </row>
    <row r="99" spans="2:20" ht="13" x14ac:dyDescent="0.3">
      <c r="B99" s="22"/>
      <c r="C99" s="150" t="s">
        <v>64</v>
      </c>
      <c r="D99" s="22"/>
      <c r="E99" s="22"/>
      <c r="F99" s="154"/>
      <c r="G99" s="154"/>
      <c r="H99" s="154"/>
      <c r="I99" s="154"/>
      <c r="J99" s="22"/>
      <c r="O99" s="22"/>
      <c r="P99" s="22"/>
      <c r="Q99" s="22"/>
      <c r="R99" s="22"/>
      <c r="S99" s="22"/>
      <c r="T99" s="22"/>
    </row>
    <row r="100" spans="2:20" ht="13" x14ac:dyDescent="0.3">
      <c r="B100" s="22"/>
      <c r="C100" s="150" t="s">
        <v>65</v>
      </c>
      <c r="D100" s="22"/>
      <c r="E100" s="22"/>
      <c r="F100" s="156"/>
      <c r="G100" s="156"/>
      <c r="H100" s="156"/>
      <c r="I100" s="154"/>
      <c r="J100" s="22"/>
      <c r="K100" s="22"/>
      <c r="L100" s="150"/>
      <c r="M100" s="22"/>
      <c r="N100" s="22"/>
      <c r="O100" s="22"/>
      <c r="P100" s="22"/>
      <c r="Q100" s="22"/>
      <c r="R100" s="22"/>
      <c r="S100" s="22"/>
      <c r="T100" s="22"/>
    </row>
    <row r="101" spans="2:20" x14ac:dyDescent="0.25">
      <c r="B101" s="22"/>
      <c r="C101" s="22"/>
      <c r="D101" s="22"/>
      <c r="E101" s="22"/>
      <c r="F101" s="22"/>
      <c r="G101" s="22"/>
      <c r="H101" s="22"/>
      <c r="I101" s="22"/>
      <c r="J101" s="22"/>
      <c r="K101" s="22"/>
      <c r="L101" s="22"/>
      <c r="M101" s="22"/>
      <c r="N101" s="22"/>
      <c r="O101" s="22"/>
      <c r="P101" s="22"/>
      <c r="Q101" s="22"/>
      <c r="R101" s="22"/>
      <c r="S101" s="22"/>
      <c r="T101" s="22"/>
    </row>
    <row r="102" spans="2:20" ht="13" x14ac:dyDescent="0.3">
      <c r="B102" s="151" t="s">
        <v>66</v>
      </c>
      <c r="C102" s="22"/>
      <c r="D102" s="22"/>
      <c r="E102" s="22"/>
      <c r="F102" s="22"/>
      <c r="G102" s="22"/>
      <c r="H102" s="22"/>
      <c r="I102" s="22"/>
      <c r="J102" s="22"/>
      <c r="K102" s="22"/>
      <c r="L102" s="22"/>
      <c r="M102" s="22"/>
      <c r="N102" s="22"/>
      <c r="O102" s="22"/>
      <c r="P102" s="22"/>
      <c r="Q102" s="22"/>
      <c r="R102" s="22"/>
      <c r="S102" s="22"/>
      <c r="T102" s="22"/>
    </row>
    <row r="103" spans="2:20" ht="13" x14ac:dyDescent="0.3">
      <c r="B103" s="22"/>
      <c r="C103" s="22"/>
      <c r="D103" s="22"/>
      <c r="E103" s="152"/>
      <c r="F103" s="152"/>
      <c r="G103" s="152"/>
      <c r="H103" s="152"/>
      <c r="I103" s="152"/>
      <c r="J103" s="22"/>
      <c r="K103" s="22"/>
      <c r="L103" s="22"/>
      <c r="M103" s="22"/>
      <c r="N103" s="22"/>
      <c r="O103" s="22"/>
      <c r="P103" s="22"/>
      <c r="Q103" s="22"/>
      <c r="R103" s="22"/>
      <c r="S103" s="22"/>
      <c r="T103" s="22"/>
    </row>
    <row r="104" spans="2:20" ht="13" x14ac:dyDescent="0.3">
      <c r="B104" s="22" t="s">
        <v>67</v>
      </c>
      <c r="C104" s="22"/>
      <c r="D104" s="57"/>
      <c r="E104" s="166" t="s">
        <v>68</v>
      </c>
      <c r="F104" s="167" t="s">
        <v>69</v>
      </c>
      <c r="G104" s="166" t="s">
        <v>70</v>
      </c>
      <c r="H104" s="167" t="s">
        <v>70</v>
      </c>
      <c r="I104" s="166" t="s">
        <v>71</v>
      </c>
      <c r="J104" s="46"/>
      <c r="K104" s="72" t="s">
        <v>62</v>
      </c>
      <c r="L104" s="150" t="s">
        <v>265</v>
      </c>
      <c r="M104" s="22"/>
      <c r="N104" s="22"/>
      <c r="O104" s="22"/>
      <c r="P104" s="168"/>
      <c r="Q104" s="22"/>
      <c r="R104" s="22"/>
      <c r="S104" s="22"/>
      <c r="T104" s="22"/>
    </row>
    <row r="105" spans="2:20" ht="13" x14ac:dyDescent="0.3">
      <c r="B105" s="22" t="s">
        <v>72</v>
      </c>
      <c r="C105" s="22"/>
      <c r="D105" s="57"/>
      <c r="E105" s="166" t="s">
        <v>73</v>
      </c>
      <c r="F105" s="167" t="s">
        <v>74</v>
      </c>
      <c r="G105" s="166" t="s">
        <v>75</v>
      </c>
      <c r="H105" s="167" t="s">
        <v>74</v>
      </c>
      <c r="I105" s="166" t="s">
        <v>76</v>
      </c>
      <c r="J105" s="46"/>
      <c r="K105" s="22"/>
      <c r="L105" s="150" t="s">
        <v>266</v>
      </c>
      <c r="M105" s="22"/>
      <c r="N105" s="22"/>
      <c r="O105" s="22"/>
      <c r="P105" s="168"/>
    </row>
    <row r="106" spans="2:20" x14ac:dyDescent="0.25">
      <c r="B106" s="22"/>
      <c r="C106" s="22"/>
      <c r="D106" s="22"/>
      <c r="E106" s="83"/>
      <c r="F106" s="83"/>
      <c r="G106" s="83"/>
      <c r="H106" s="83"/>
      <c r="I106" s="83"/>
      <c r="J106" s="22"/>
      <c r="K106" s="22"/>
      <c r="L106" s="22"/>
      <c r="M106" s="22"/>
      <c r="N106" s="22"/>
      <c r="O106" s="22"/>
      <c r="P106" s="168"/>
    </row>
    <row r="107" spans="2:20" ht="13" x14ac:dyDescent="0.3">
      <c r="B107" s="22" t="s">
        <v>77</v>
      </c>
      <c r="C107" s="22"/>
      <c r="D107" s="57"/>
      <c r="E107" s="1" t="s">
        <v>5</v>
      </c>
      <c r="F107" s="56" t="s">
        <v>5</v>
      </c>
      <c r="G107" s="169">
        <f>AECalc!C24</f>
        <v>0.35</v>
      </c>
      <c r="H107" s="170" t="s">
        <v>5</v>
      </c>
      <c r="I107" s="6">
        <f>(E95*G107)</f>
        <v>162.7577520830778</v>
      </c>
      <c r="J107" s="46"/>
      <c r="K107" s="22"/>
      <c r="L107" s="150" t="s">
        <v>267</v>
      </c>
      <c r="M107" s="22"/>
      <c r="N107" s="22"/>
      <c r="O107" s="22"/>
      <c r="P107" s="168"/>
    </row>
    <row r="108" spans="2:20" ht="13" x14ac:dyDescent="0.3">
      <c r="B108" s="22" t="s">
        <v>78</v>
      </c>
      <c r="C108" s="22"/>
      <c r="D108" s="57"/>
      <c r="E108" s="2">
        <f>E95-F71-F46</f>
        <v>465.02214880879376</v>
      </c>
      <c r="F108" s="7">
        <f>F46+F71*(1-I71)</f>
        <v>0</v>
      </c>
      <c r="G108" s="169">
        <f>AECalc!H31</f>
        <v>0.23846153846153847</v>
      </c>
      <c r="H108" s="169">
        <f>AECalc!M31</f>
        <v>2.9853479853479852E-2</v>
      </c>
      <c r="I108" s="6">
        <f>(E108*G108)+(F108*H108)</f>
        <v>110.88989702363544</v>
      </c>
      <c r="J108" s="46"/>
      <c r="K108" s="171"/>
      <c r="L108" s="150" t="s">
        <v>322</v>
      </c>
      <c r="M108" s="22"/>
      <c r="N108" s="22"/>
      <c r="O108" s="22"/>
      <c r="P108" s="168"/>
    </row>
    <row r="109" spans="2:20" ht="13" x14ac:dyDescent="0.3">
      <c r="B109" s="22" t="s">
        <v>79</v>
      </c>
      <c r="C109" s="22"/>
      <c r="D109" s="57"/>
      <c r="E109" s="2">
        <f>F76-F80-F83</f>
        <v>226.69829754428696</v>
      </c>
      <c r="F109" s="7">
        <f>F80</f>
        <v>0</v>
      </c>
      <c r="G109" s="169">
        <f>AECalc!H32</f>
        <v>0.56703296703296702</v>
      </c>
      <c r="H109" s="169">
        <f>AECalc!M32</f>
        <v>0.27362637362637365</v>
      </c>
      <c r="I109" s="6">
        <f>(E109*G109)+(F109*H109)</f>
        <v>128.54540827785942</v>
      </c>
      <c r="J109" s="561">
        <f>I109/$I$120</f>
        <v>8.5696938851906282E-2</v>
      </c>
      <c r="K109" s="171"/>
      <c r="L109" s="150"/>
      <c r="M109" s="22"/>
      <c r="N109" s="22"/>
      <c r="O109" s="22"/>
      <c r="P109" s="168"/>
    </row>
    <row r="110" spans="2:20" ht="13" x14ac:dyDescent="0.3">
      <c r="B110" s="22" t="s">
        <v>80</v>
      </c>
      <c r="C110" s="22"/>
      <c r="D110" s="57"/>
      <c r="E110" s="2">
        <f>G76-G80-G83</f>
        <v>105.94146145635011</v>
      </c>
      <c r="F110" s="7">
        <f>G80</f>
        <v>115.08937864932966</v>
      </c>
      <c r="G110" s="169">
        <f>AECalc!H33</f>
        <v>0.80439560439560442</v>
      </c>
      <c r="H110" s="169">
        <f>AECalc!M33</f>
        <v>0.32417582417582419</v>
      </c>
      <c r="I110" s="6">
        <f>(E110*G110)+(F110*H110)</f>
        <v>122.52804009626432</v>
      </c>
      <c r="J110" s="561">
        <f>I110/$I$120</f>
        <v>8.1685360064176218E-2</v>
      </c>
      <c r="K110" s="171"/>
      <c r="L110" s="150" t="s">
        <v>268</v>
      </c>
      <c r="M110" s="22"/>
      <c r="N110" s="22"/>
      <c r="O110" s="22"/>
      <c r="P110" s="168"/>
    </row>
    <row r="111" spans="2:20" ht="13" x14ac:dyDescent="0.3">
      <c r="B111" s="22" t="s">
        <v>81</v>
      </c>
      <c r="C111" s="22"/>
      <c r="D111" s="57"/>
      <c r="E111" s="2">
        <f>SUM(H76:R76)-SUM(H80:R80)-SUM(H83:R83)</f>
        <v>645.2126262406465</v>
      </c>
      <c r="F111" s="7">
        <f>SUM(H80:S80)</f>
        <v>87.162609263925205</v>
      </c>
      <c r="G111" s="169">
        <f>AECalc!H34</f>
        <v>0.98901098901098905</v>
      </c>
      <c r="H111" s="169">
        <f>AECalc!M34</f>
        <v>0.49450549450549453</v>
      </c>
      <c r="I111" s="6">
        <f>(E111*G111)+(F111*H111)</f>
        <v>681.22476679708598</v>
      </c>
      <c r="J111" s="561">
        <f>(I107+I111+I118+I108)/I120</f>
        <v>0.67208897506238396</v>
      </c>
      <c r="K111" s="171"/>
      <c r="L111" s="150" t="s">
        <v>269</v>
      </c>
      <c r="M111" s="22"/>
      <c r="N111" s="22"/>
      <c r="O111" s="22"/>
      <c r="P111" s="168"/>
    </row>
    <row r="112" spans="2:20" x14ac:dyDescent="0.25">
      <c r="B112" s="22" t="s">
        <v>402</v>
      </c>
      <c r="C112" s="22"/>
      <c r="D112" s="57"/>
      <c r="E112" s="2">
        <f>SUM(F82:S83)-SUM(F85:S85)+K71</f>
        <v>0</v>
      </c>
      <c r="F112" s="7">
        <f>SUM(F85:S85)</f>
        <v>0</v>
      </c>
      <c r="G112" s="18">
        <f>IF(E112=0,0,(K71*G108+(F82+F83-F85)*G109+(G82+G83-G85)*G110+(SUM(H82:S83)-SUM(H85:S85))*G111)/E112)</f>
        <v>0</v>
      </c>
      <c r="H112" s="18">
        <f>IF(F112=0,0,(F85*H109+G85*H110+SUM(H85:S85)*H111)/F112)</f>
        <v>0</v>
      </c>
      <c r="I112" s="6">
        <f>E112*G112+F112*H112</f>
        <v>0</v>
      </c>
      <c r="J112" s="46"/>
      <c r="K112" s="171"/>
      <c r="L112" s="22"/>
      <c r="M112" s="22"/>
      <c r="N112" s="22"/>
      <c r="O112" s="22"/>
      <c r="P112" s="168"/>
    </row>
    <row r="113" spans="2:20" x14ac:dyDescent="0.25">
      <c r="B113" s="22" t="s">
        <v>82</v>
      </c>
      <c r="C113" s="22"/>
      <c r="D113" s="57"/>
      <c r="E113" s="2">
        <f>G42-G46</f>
        <v>226.69829754428696</v>
      </c>
      <c r="F113" s="7">
        <f>G46</f>
        <v>0</v>
      </c>
      <c r="G113" s="169">
        <f>AECalc!H35</f>
        <v>0.59340659340659341</v>
      </c>
      <c r="H113" s="169">
        <f>AECalc!M35</f>
        <v>0.23489010989010989</v>
      </c>
      <c r="I113" s="6">
        <f>(E113*G113)+(F113*H113)</f>
        <v>134.52426447682961</v>
      </c>
      <c r="J113" s="561">
        <f>I113/$I$120</f>
        <v>8.9682842984553077E-2</v>
      </c>
      <c r="K113" s="171"/>
      <c r="L113" s="22"/>
      <c r="M113" s="22"/>
      <c r="N113" s="22"/>
      <c r="O113" s="22"/>
      <c r="P113" s="168"/>
    </row>
    <row r="114" spans="2:20" x14ac:dyDescent="0.25">
      <c r="B114" s="22" t="s">
        <v>83</v>
      </c>
      <c r="C114" s="22"/>
      <c r="D114" s="57"/>
      <c r="E114" s="2">
        <f>H42-H45-H46</f>
        <v>37.575242817965574</v>
      </c>
      <c r="F114" s="7">
        <f>H46</f>
        <v>183.4555972877142</v>
      </c>
      <c r="G114" s="169">
        <f>AECalc!H36</f>
        <v>0.84395604395604396</v>
      </c>
      <c r="H114" s="169">
        <f>AECalc!M36</f>
        <v>0.34111721611721613</v>
      </c>
      <c r="I114" s="6">
        <f>(E114*G114)+(F114*H114)</f>
        <v>94.291715907244154</v>
      </c>
      <c r="J114" s="561">
        <f t="shared" ref="J114:J115" si="8">I114/$I$120</f>
        <v>6.2861143938162764E-2</v>
      </c>
      <c r="K114" s="171"/>
      <c r="L114" s="22"/>
      <c r="M114" s="22"/>
      <c r="N114" s="22"/>
      <c r="O114" s="22"/>
      <c r="P114" s="22"/>
    </row>
    <row r="115" spans="2:20" x14ac:dyDescent="0.25">
      <c r="B115" s="22" t="s">
        <v>84</v>
      </c>
      <c r="C115" s="22"/>
      <c r="D115" s="57"/>
      <c r="E115" s="2">
        <f>I42-I46</f>
        <v>0</v>
      </c>
      <c r="F115" s="7">
        <f>I46</f>
        <v>36.635861747516437</v>
      </c>
      <c r="G115" s="169">
        <f>AECalc!H37</f>
        <v>0.81318681318681318</v>
      </c>
      <c r="H115" s="169">
        <f>AECalc!M37</f>
        <v>0.32692307692307693</v>
      </c>
      <c r="I115" s="6">
        <f>(E115*G115)+(F115*H115)</f>
        <v>11.977108648226528</v>
      </c>
      <c r="J115" s="561">
        <f t="shared" si="8"/>
        <v>7.9847390988176861E-3</v>
      </c>
      <c r="K115" s="171"/>
      <c r="L115" s="22"/>
      <c r="M115" s="22"/>
      <c r="N115" s="22"/>
      <c r="O115" s="22"/>
      <c r="P115" s="168"/>
    </row>
    <row r="116" spans="2:20" x14ac:dyDescent="0.25">
      <c r="B116" s="22" t="s">
        <v>85</v>
      </c>
      <c r="C116" s="22"/>
      <c r="D116" s="57"/>
      <c r="E116" s="2">
        <f>J42-J46</f>
        <v>0</v>
      </c>
      <c r="F116" s="7">
        <f>J46</f>
        <v>0</v>
      </c>
      <c r="G116" s="169">
        <f>AECalc!H38</f>
        <v>0</v>
      </c>
      <c r="H116" s="169">
        <f>AECalc!M38</f>
        <v>0</v>
      </c>
      <c r="I116" s="6">
        <f>(E116*G116)+(F116*H116)</f>
        <v>0</v>
      </c>
      <c r="J116" s="46"/>
      <c r="K116" s="171"/>
      <c r="L116" s="22"/>
      <c r="M116" s="22"/>
      <c r="N116" s="22"/>
      <c r="O116" s="22"/>
      <c r="P116" s="168"/>
    </row>
    <row r="117" spans="2:20" x14ac:dyDescent="0.25">
      <c r="B117" s="22" t="s">
        <v>270</v>
      </c>
      <c r="C117" s="22"/>
      <c r="D117" s="57"/>
      <c r="E117" s="1" t="s">
        <v>5</v>
      </c>
      <c r="F117" s="7">
        <f>K46</f>
        <v>0</v>
      </c>
      <c r="G117" s="19" t="s">
        <v>5</v>
      </c>
      <c r="H117" s="169">
        <f>AECalc!M39</f>
        <v>0</v>
      </c>
      <c r="I117" s="6">
        <f>(F117*H117)</f>
        <v>0</v>
      </c>
      <c r="J117" s="46"/>
      <c r="K117" s="171"/>
      <c r="L117" s="22"/>
      <c r="M117" s="22"/>
      <c r="N117" s="22"/>
      <c r="O117" s="22"/>
      <c r="P117" s="168"/>
    </row>
    <row r="118" spans="2:20" x14ac:dyDescent="0.25">
      <c r="B118" s="22" t="s">
        <v>86</v>
      </c>
      <c r="C118" s="22"/>
      <c r="D118" s="57"/>
      <c r="E118" s="2">
        <f>I53</f>
        <v>32.2043538124232</v>
      </c>
      <c r="F118" s="7">
        <f>G57</f>
        <v>4.8306530718634804</v>
      </c>
      <c r="G118" s="169">
        <f>AECalc!H40</f>
        <v>1.5384615384615385</v>
      </c>
      <c r="H118" s="169">
        <f>AECalc!M40</f>
        <v>0.76923076923076927</v>
      </c>
      <c r="I118" s="6">
        <f>(E118*G118)+(F118*H118)</f>
        <v>53.261046689776833</v>
      </c>
      <c r="J118" s="46"/>
      <c r="K118" s="171"/>
      <c r="L118" s="22"/>
      <c r="M118" s="22"/>
      <c r="N118" s="22"/>
      <c r="O118" s="22"/>
      <c r="P118" s="168"/>
    </row>
    <row r="119" spans="2:20" ht="13" x14ac:dyDescent="0.3">
      <c r="B119" s="22"/>
      <c r="C119" s="22"/>
      <c r="D119" s="22"/>
      <c r="E119" s="83"/>
      <c r="F119" s="83"/>
      <c r="G119" s="155"/>
      <c r="H119" s="155"/>
      <c r="I119" s="83"/>
      <c r="J119" s="22"/>
      <c r="K119" s="22"/>
      <c r="L119" s="22"/>
      <c r="M119" s="22"/>
      <c r="N119" s="22"/>
      <c r="O119" s="22"/>
      <c r="P119" s="168"/>
    </row>
    <row r="120" spans="2:20" x14ac:dyDescent="0.25">
      <c r="B120" s="22"/>
      <c r="C120" s="22" t="s">
        <v>87</v>
      </c>
      <c r="D120" s="57"/>
      <c r="E120" s="2">
        <f>SUM(E108:E118)</f>
        <v>1739.3524282247531</v>
      </c>
      <c r="F120" s="2">
        <f>SUM(F108:F118)</f>
        <v>427.17410002034904</v>
      </c>
      <c r="G120" s="46"/>
      <c r="H120" s="56" t="s">
        <v>88</v>
      </c>
      <c r="I120" s="2">
        <f>SUM(I107:I118)</f>
        <v>1500</v>
      </c>
      <c r="J120" s="561">
        <f>SUM(J107:J119)</f>
        <v>1</v>
      </c>
      <c r="K120" s="22"/>
      <c r="L120" s="22"/>
      <c r="M120" s="22"/>
      <c r="N120" s="22"/>
      <c r="O120" s="22"/>
      <c r="P120" s="168"/>
      <c r="Q120" s="22"/>
      <c r="R120" s="22"/>
      <c r="S120" s="22"/>
      <c r="T120" s="22"/>
    </row>
    <row r="121" spans="2:20" ht="13" x14ac:dyDescent="0.3">
      <c r="B121" s="22"/>
      <c r="C121" s="22"/>
      <c r="D121" s="22"/>
      <c r="E121" s="155"/>
      <c r="F121" s="155"/>
      <c r="G121" s="22"/>
      <c r="H121" s="22"/>
      <c r="I121" s="155"/>
      <c r="J121" s="22"/>
      <c r="K121" s="22"/>
      <c r="L121" s="22"/>
      <c r="M121" s="22"/>
      <c r="N121" s="22"/>
      <c r="O121" s="22"/>
      <c r="P121" s="22"/>
      <c r="Q121" s="22"/>
      <c r="R121" s="22"/>
      <c r="S121" s="22"/>
      <c r="T121" s="22"/>
    </row>
    <row r="122" spans="2:20" ht="13" x14ac:dyDescent="0.3">
      <c r="B122" s="22"/>
      <c r="C122" s="150"/>
      <c r="D122" s="22"/>
      <c r="E122" s="22"/>
      <c r="F122" s="22"/>
      <c r="G122" s="22"/>
      <c r="H122" s="22"/>
      <c r="I122" s="22"/>
      <c r="J122" s="22"/>
      <c r="K122" s="22"/>
      <c r="L122" s="22"/>
      <c r="M122" s="22"/>
      <c r="N122" s="22"/>
      <c r="O122" s="22"/>
      <c r="P122" s="22"/>
      <c r="Q122" s="22"/>
      <c r="R122" s="22"/>
      <c r="S122" s="22"/>
      <c r="T122" s="22"/>
    </row>
    <row r="123" spans="2:20" x14ac:dyDescent="0.25">
      <c r="B123" s="22"/>
      <c r="C123" s="22"/>
      <c r="D123" s="22"/>
      <c r="E123" s="22"/>
      <c r="F123" s="22"/>
      <c r="G123" s="22"/>
      <c r="H123" s="22"/>
      <c r="I123" s="22"/>
      <c r="J123" s="22"/>
      <c r="K123" s="22"/>
      <c r="L123" s="22"/>
      <c r="M123" s="22"/>
      <c r="N123" s="22"/>
      <c r="O123" s="22"/>
      <c r="P123" s="22"/>
      <c r="Q123" s="22"/>
      <c r="R123" s="22"/>
      <c r="S123" s="22"/>
      <c r="T123" s="22"/>
    </row>
    <row r="124" spans="2:20" ht="13" x14ac:dyDescent="0.3">
      <c r="B124" s="151" t="s">
        <v>89</v>
      </c>
      <c r="C124" s="22"/>
      <c r="D124" s="22"/>
      <c r="E124" s="22"/>
      <c r="F124" s="22"/>
      <c r="G124" s="150"/>
      <c r="H124" s="22"/>
      <c r="I124" s="22"/>
      <c r="J124" s="22"/>
      <c r="K124" s="22"/>
      <c r="L124" s="22"/>
      <c r="M124" s="22"/>
      <c r="N124" s="22"/>
      <c r="O124" s="22"/>
      <c r="P124" s="22"/>
      <c r="Q124" s="22"/>
      <c r="R124" s="22"/>
      <c r="S124" s="22"/>
      <c r="T124" s="22"/>
    </row>
    <row r="125" spans="2:20" ht="13" x14ac:dyDescent="0.3">
      <c r="B125" s="22"/>
      <c r="C125" s="22"/>
      <c r="D125" s="22"/>
      <c r="E125" s="152"/>
      <c r="F125" s="152"/>
      <c r="G125" s="152"/>
      <c r="H125" s="152"/>
      <c r="I125" s="152"/>
      <c r="J125" s="22"/>
      <c r="K125" s="152"/>
      <c r="L125" s="152"/>
      <c r="M125" s="152"/>
      <c r="N125" s="152"/>
      <c r="O125" s="152"/>
      <c r="P125" s="152"/>
      <c r="Q125" s="152"/>
      <c r="R125" s="22"/>
      <c r="S125" s="22"/>
      <c r="T125" s="22"/>
    </row>
    <row r="126" spans="2:20" ht="13" x14ac:dyDescent="0.3">
      <c r="B126" s="22" t="s">
        <v>90</v>
      </c>
      <c r="C126" s="22"/>
      <c r="D126" s="57"/>
      <c r="E126" s="22" t="s">
        <v>91</v>
      </c>
      <c r="F126" s="22"/>
      <c r="G126" s="22"/>
      <c r="H126" s="22"/>
      <c r="I126" s="164" t="s">
        <v>359</v>
      </c>
      <c r="J126" s="172"/>
      <c r="K126" s="22" t="s">
        <v>92</v>
      </c>
      <c r="L126" s="22"/>
      <c r="M126" s="22"/>
      <c r="N126" s="22"/>
      <c r="O126" s="22"/>
      <c r="P126" s="22"/>
      <c r="Q126" s="59" t="s">
        <v>93</v>
      </c>
      <c r="R126" s="46"/>
      <c r="S126" s="22"/>
      <c r="T126" s="22"/>
    </row>
    <row r="127" spans="2:20" ht="13" x14ac:dyDescent="0.3">
      <c r="B127" s="22" t="s">
        <v>94</v>
      </c>
      <c r="C127" s="22"/>
      <c r="D127" s="57"/>
      <c r="E127" s="59" t="s">
        <v>95</v>
      </c>
      <c r="F127" s="59" t="s">
        <v>96</v>
      </c>
      <c r="G127" s="59" t="s">
        <v>97</v>
      </c>
      <c r="H127" s="59" t="s">
        <v>98</v>
      </c>
      <c r="I127" s="59" t="s">
        <v>357</v>
      </c>
      <c r="J127" s="172"/>
      <c r="K127" s="59" t="s">
        <v>95</v>
      </c>
      <c r="L127" s="59" t="s">
        <v>96</v>
      </c>
      <c r="M127" s="59" t="s">
        <v>97</v>
      </c>
      <c r="N127" s="59" t="s">
        <v>100</v>
      </c>
      <c r="O127" s="59" t="s">
        <v>101</v>
      </c>
      <c r="P127" s="59" t="s">
        <v>271</v>
      </c>
      <c r="Q127" s="59" t="s">
        <v>102</v>
      </c>
      <c r="R127" s="46"/>
      <c r="S127" s="22"/>
      <c r="T127" s="22"/>
    </row>
    <row r="128" spans="2:20" x14ac:dyDescent="0.25">
      <c r="B128" s="22"/>
      <c r="C128" s="22"/>
      <c r="D128" s="22"/>
      <c r="E128" s="83"/>
      <c r="F128" s="83"/>
      <c r="G128" s="83"/>
      <c r="H128" s="83"/>
      <c r="I128" s="83"/>
      <c r="J128" s="22"/>
      <c r="K128" s="83"/>
      <c r="L128" s="83"/>
      <c r="M128" s="83"/>
      <c r="N128" s="83"/>
      <c r="O128" s="83"/>
      <c r="P128" s="83"/>
      <c r="Q128" s="83"/>
      <c r="R128" s="22"/>
      <c r="S128" s="22"/>
      <c r="T128" s="22"/>
    </row>
    <row r="129" spans="2:21" ht="13" x14ac:dyDescent="0.3">
      <c r="B129" s="22" t="s">
        <v>103</v>
      </c>
      <c r="C129" s="22"/>
      <c r="D129" s="57"/>
      <c r="E129" s="256">
        <f>Huscosts!D45</f>
        <v>39.33</v>
      </c>
      <c r="F129" s="256">
        <f>Huscosts!E45</f>
        <v>24.29</v>
      </c>
      <c r="G129" s="256">
        <f>Huscosts!F45</f>
        <v>35.270000000000003</v>
      </c>
      <c r="H129" s="256">
        <f>Huscosts!G45</f>
        <v>35.270000000000003</v>
      </c>
      <c r="I129" s="256">
        <f>Huscosts!H45</f>
        <v>6</v>
      </c>
      <c r="J129" s="172"/>
      <c r="K129" s="256">
        <f>Huscosts!J45</f>
        <v>39.33</v>
      </c>
      <c r="L129" s="256">
        <f>Huscosts!K45</f>
        <v>24.29</v>
      </c>
      <c r="M129" s="256">
        <f>Huscosts!L45</f>
        <v>24.29</v>
      </c>
      <c r="N129" s="256">
        <f>Huscosts!M45</f>
        <v>8.33</v>
      </c>
      <c r="O129" s="256">
        <f>Huscosts!N45</f>
        <v>0</v>
      </c>
      <c r="P129" s="257" t="str">
        <f>Huscosts!O45</f>
        <v>na</v>
      </c>
      <c r="Q129" s="256">
        <f>Huscosts!P45</f>
        <v>41</v>
      </c>
      <c r="R129" s="46"/>
      <c r="S129" s="22"/>
      <c r="T129" s="22"/>
    </row>
    <row r="130" spans="2:21" ht="13" x14ac:dyDescent="0.3">
      <c r="B130" s="22" t="s">
        <v>104</v>
      </c>
      <c r="C130" s="22"/>
      <c r="D130" s="57"/>
      <c r="E130" s="256">
        <f>Huscosts!D47</f>
        <v>13</v>
      </c>
      <c r="F130" s="256">
        <f>Huscosts!E47</f>
        <v>11.83</v>
      </c>
      <c r="G130" s="256">
        <f>Huscosts!F47</f>
        <v>15.33</v>
      </c>
      <c r="H130" s="256">
        <f>Huscosts!G47</f>
        <v>15.33</v>
      </c>
      <c r="I130" s="256">
        <f>Huscosts!H47</f>
        <v>5</v>
      </c>
      <c r="J130" s="172"/>
      <c r="K130" s="256">
        <f>Huscosts!J47</f>
        <v>13</v>
      </c>
      <c r="L130" s="256">
        <f>Huscosts!K47</f>
        <v>8.33</v>
      </c>
      <c r="M130" s="256">
        <f>Huscosts!L47</f>
        <v>8.33</v>
      </c>
      <c r="N130" s="256">
        <f>Huscosts!M47</f>
        <v>8.33</v>
      </c>
      <c r="O130" s="256">
        <f>Huscosts!N47</f>
        <v>0</v>
      </c>
      <c r="P130" s="256">
        <f>Huscosts!O47</f>
        <v>0</v>
      </c>
      <c r="Q130" s="256">
        <f>Huscosts!P47</f>
        <v>30</v>
      </c>
      <c r="R130" s="46"/>
      <c r="S130" s="22"/>
      <c r="T130" s="22"/>
    </row>
    <row r="131" spans="2:21" ht="13" x14ac:dyDescent="0.3">
      <c r="B131" s="171"/>
      <c r="C131" s="22"/>
      <c r="D131" s="22"/>
      <c r="E131" s="155"/>
      <c r="F131" s="173"/>
      <c r="G131" s="155"/>
      <c r="H131" s="155"/>
      <c r="I131" s="155"/>
      <c r="J131" s="22"/>
      <c r="K131" s="155"/>
      <c r="L131" s="155"/>
      <c r="M131" s="155"/>
      <c r="N131" s="155"/>
      <c r="O131" s="155"/>
      <c r="P131" s="155"/>
      <c r="Q131" s="155"/>
      <c r="R131" s="22"/>
      <c r="S131" s="22"/>
      <c r="T131" s="22"/>
    </row>
    <row r="132" spans="2:21" ht="13" x14ac:dyDescent="0.3">
      <c r="B132" s="22" t="s">
        <v>319</v>
      </c>
      <c r="C132" s="22"/>
      <c r="D132" s="22"/>
      <c r="E132" s="57"/>
      <c r="F132" s="258">
        <f>(E129*F67)+K129*(F42-F46)+(F129*E109)+(G129*E110)+(H129*E111)+(I129*E112)+(L129*E113)+(M129*E114)+(N129*E115)+(O129*E116)+(Q129*E118)</f>
        <v>58028.610234782122</v>
      </c>
      <c r="G132" s="46"/>
      <c r="H132" s="22"/>
      <c r="I132" s="72" t="s">
        <v>105</v>
      </c>
      <c r="J132" s="150" t="s">
        <v>106</v>
      </c>
      <c r="K132" s="22"/>
      <c r="L132" s="22"/>
      <c r="M132" s="22"/>
      <c r="N132" s="22"/>
      <c r="O132" s="22"/>
      <c r="P132" s="22"/>
      <c r="Q132" s="22"/>
      <c r="R132" s="22"/>
      <c r="S132" s="22"/>
      <c r="T132" s="22"/>
    </row>
    <row r="133" spans="2:21" x14ac:dyDescent="0.25">
      <c r="B133" s="22"/>
      <c r="C133" s="22"/>
      <c r="D133" s="22"/>
      <c r="E133" s="22"/>
      <c r="F133" s="83"/>
      <c r="G133" s="22"/>
      <c r="H133" s="22"/>
      <c r="I133" s="22"/>
      <c r="J133" s="22"/>
      <c r="K133" s="22"/>
      <c r="L133" s="22"/>
      <c r="M133" s="22"/>
      <c r="N133" s="22"/>
      <c r="O133" s="22"/>
      <c r="P133" s="22"/>
      <c r="Q133" s="22"/>
      <c r="R133" s="22"/>
      <c r="S133" s="22"/>
      <c r="T133" s="22"/>
    </row>
    <row r="134" spans="2:21" ht="13" x14ac:dyDescent="0.3">
      <c r="B134" s="22" t="s">
        <v>318</v>
      </c>
      <c r="C134" s="22"/>
      <c r="D134" s="22"/>
      <c r="E134" s="57"/>
      <c r="F134" s="258">
        <f>(E130*F71)+(K130*F46)+F130*F109+G130*F110+H130*F111+I130*F112+L130*F113+M130*F114+N130*F115+O130*F116+P130*F117+Q130*F118</f>
        <v>5078.8044206295726</v>
      </c>
      <c r="G134" s="46"/>
      <c r="H134" s="22"/>
      <c r="I134" s="22"/>
      <c r="J134" s="22"/>
      <c r="K134" s="22"/>
      <c r="L134" s="22"/>
      <c r="M134" s="22"/>
      <c r="N134" s="22"/>
      <c r="O134" s="22"/>
      <c r="P134" s="22"/>
      <c r="Q134" s="22"/>
      <c r="R134" s="22"/>
      <c r="S134" s="22"/>
      <c r="T134" s="22"/>
    </row>
    <row r="135" spans="2:21" ht="13" x14ac:dyDescent="0.3">
      <c r="B135" s="150"/>
      <c r="C135" s="150"/>
      <c r="D135" s="22"/>
      <c r="E135" s="22"/>
      <c r="F135" s="155"/>
      <c r="G135" s="22"/>
      <c r="H135" s="22"/>
      <c r="I135" s="22"/>
      <c r="J135" s="22"/>
      <c r="K135" s="22"/>
      <c r="L135" s="22"/>
      <c r="M135" s="22"/>
      <c r="N135" s="22"/>
      <c r="O135" s="22"/>
      <c r="P135" s="22"/>
      <c r="Q135" s="22"/>
      <c r="R135" s="22"/>
      <c r="S135" s="22"/>
      <c r="T135" s="22"/>
    </row>
    <row r="136" spans="2:21" x14ac:dyDescent="0.25">
      <c r="B136" s="154"/>
      <c r="C136" s="154"/>
      <c r="D136" s="154"/>
      <c r="E136" s="154"/>
      <c r="F136" s="154"/>
      <c r="G136" s="154"/>
      <c r="H136" s="154"/>
      <c r="I136" s="154"/>
      <c r="J136" s="154"/>
      <c r="K136" s="154"/>
      <c r="L136" s="154"/>
      <c r="M136" s="154"/>
      <c r="N136" s="154"/>
      <c r="O136" s="154"/>
      <c r="P136" s="154"/>
      <c r="Q136" s="154"/>
      <c r="R136" s="154"/>
      <c r="S136" s="154"/>
      <c r="T136" s="154"/>
      <c r="U136" s="386"/>
    </row>
    <row r="137" spans="2:21" ht="13" x14ac:dyDescent="0.3">
      <c r="B137" s="151" t="s">
        <v>107</v>
      </c>
      <c r="C137" s="22"/>
      <c r="D137" s="22"/>
      <c r="E137" s="22"/>
      <c r="F137" s="22"/>
      <c r="G137" s="22"/>
      <c r="H137" s="22"/>
      <c r="I137" s="22"/>
      <c r="J137" s="22"/>
      <c r="K137" s="22"/>
      <c r="L137" s="22"/>
      <c r="M137" s="22"/>
      <c r="N137" s="22"/>
      <c r="O137" s="22"/>
      <c r="P137" s="22"/>
      <c r="Q137" s="22"/>
      <c r="R137" s="22"/>
      <c r="S137" s="22"/>
      <c r="T137" s="22"/>
    </row>
    <row r="138" spans="2:21" ht="13" x14ac:dyDescent="0.3">
      <c r="B138" s="22"/>
      <c r="C138" s="22"/>
      <c r="D138" s="152"/>
      <c r="E138" s="152"/>
      <c r="F138" s="152"/>
      <c r="G138" s="152"/>
      <c r="H138" s="152"/>
      <c r="I138" s="22"/>
      <c r="J138" s="22"/>
      <c r="K138" s="22"/>
      <c r="L138" s="22"/>
      <c r="M138" s="22"/>
      <c r="N138" s="22"/>
      <c r="O138" s="152"/>
      <c r="P138" s="22"/>
      <c r="Q138" s="22"/>
      <c r="R138" s="22"/>
      <c r="S138" s="22"/>
      <c r="T138" s="22"/>
    </row>
    <row r="139" spans="2:21" x14ac:dyDescent="0.25">
      <c r="B139" s="22"/>
      <c r="C139" s="57"/>
      <c r="D139" s="59" t="s">
        <v>108</v>
      </c>
      <c r="E139" s="22"/>
      <c r="F139" s="59" t="s">
        <v>109</v>
      </c>
      <c r="G139" s="22"/>
      <c r="H139" s="59" t="s">
        <v>110</v>
      </c>
      <c r="I139" s="46"/>
      <c r="J139" s="22"/>
      <c r="K139" s="22" t="s">
        <v>111</v>
      </c>
      <c r="L139" s="22"/>
      <c r="M139" s="22"/>
      <c r="N139" s="57"/>
      <c r="O139" s="59" t="s">
        <v>112</v>
      </c>
      <c r="P139" s="46"/>
      <c r="Q139" s="22"/>
      <c r="R139" s="22"/>
      <c r="S139" s="22"/>
      <c r="T139" s="22"/>
    </row>
    <row r="140" spans="2:21" x14ac:dyDescent="0.25">
      <c r="B140" s="22"/>
      <c r="C140" s="22"/>
      <c r="D140" s="83"/>
      <c r="E140" s="83"/>
      <c r="F140" s="83"/>
      <c r="G140" s="83"/>
      <c r="H140" s="83"/>
      <c r="I140" s="22"/>
      <c r="J140" s="22"/>
      <c r="K140" s="22"/>
      <c r="L140" s="22"/>
      <c r="M140" s="22"/>
      <c r="N140" s="22"/>
      <c r="O140" s="83"/>
      <c r="P140" s="22"/>
      <c r="Q140" s="22"/>
      <c r="R140" s="22"/>
      <c r="S140" s="22"/>
      <c r="T140" s="22"/>
    </row>
    <row r="141" spans="2:21" ht="13" x14ac:dyDescent="0.3">
      <c r="B141" s="22" t="s">
        <v>113</v>
      </c>
      <c r="C141" s="57"/>
      <c r="D141" s="258">
        <f>(P91*M91)+(F48*I48)+(G56*I56)</f>
        <v>321055.96602818219</v>
      </c>
      <c r="E141" s="174"/>
      <c r="F141" s="259">
        <f>IF(E$120&gt;0,D141/E$120,0)</f>
        <v>184.58361906325314</v>
      </c>
      <c r="G141" s="174"/>
      <c r="H141" s="259">
        <f>IF(I$120&gt;0,D141/I$120,0)</f>
        <v>214.0373106854548</v>
      </c>
      <c r="I141" s="46"/>
      <c r="J141" s="22"/>
      <c r="K141" s="22" t="s">
        <v>114</v>
      </c>
      <c r="L141" s="22"/>
      <c r="M141" s="22"/>
      <c r="N141" s="57"/>
      <c r="O141" s="258">
        <f>(F67+K71)*D29+(F76-F80)*E29+(G76-G80)*F29+(H76-H80)*G29+(I76-I80)*H29+(J76-J80)*I29+(K76-K80)*J29+(L76-L80)*K29+(M76-M80)*L29+(N76-N80)*M29+(O76-O80)*N29+(P76-P80)*O29+(Q76-Q80)*P29+(R76-R80)*Q29</f>
        <v>654446.26066147001</v>
      </c>
      <c r="P141" s="46"/>
      <c r="Q141" s="22"/>
      <c r="R141" s="22"/>
      <c r="S141" s="22"/>
      <c r="T141" s="22"/>
    </row>
    <row r="142" spans="2:21" ht="13" x14ac:dyDescent="0.3">
      <c r="B142" s="22" t="s">
        <v>115</v>
      </c>
      <c r="C142" s="57"/>
      <c r="D142" s="258">
        <f>F132+F134</f>
        <v>63107.414655411696</v>
      </c>
      <c r="E142" s="174"/>
      <c r="F142" s="259">
        <f>IF(E$120&gt;0,D142/E$120,0)</f>
        <v>36.282132149504307</v>
      </c>
      <c r="G142" s="174"/>
      <c r="H142" s="259">
        <f>IF(I$120&gt;0,D142/I$120,0)</f>
        <v>42.071609770274463</v>
      </c>
      <c r="I142" s="46"/>
      <c r="J142" s="22"/>
      <c r="K142" s="22" t="s">
        <v>403</v>
      </c>
      <c r="L142" s="22"/>
      <c r="M142" s="22"/>
      <c r="N142" s="57"/>
      <c r="O142" s="258">
        <f>(F82-F85)*E30+(G82-G85)*F30+(H82-H85)*G30+(I82-I85)*H30+(J82-J85)*I30+(K82-K85)*J30+(L82-L85)*K30+(M82-M85)*L30+(N82-N85)*M30+(O82-O85)*N30+(P82-P85)*O30+(Q82-Q85)*P30+(R82-R85)*Q30</f>
        <v>0</v>
      </c>
      <c r="P142" s="46"/>
      <c r="Q142" s="22"/>
      <c r="R142" s="258"/>
      <c r="S142" s="22"/>
      <c r="T142" s="22"/>
    </row>
    <row r="143" spans="2:21" ht="13" x14ac:dyDescent="0.3">
      <c r="B143" s="22" t="s">
        <v>409</v>
      </c>
      <c r="C143" s="57"/>
      <c r="D143" s="258">
        <f>I61</f>
        <v>26308.541738213822</v>
      </c>
      <c r="E143" s="174"/>
      <c r="F143" s="259">
        <f>IF(E$120&gt;0,D143/E$120,0)</f>
        <v>15.125480788884909</v>
      </c>
      <c r="G143" s="174"/>
      <c r="H143" s="259">
        <f>IF(I$120&gt;0,D143/I$120,0)</f>
        <v>17.53902782547588</v>
      </c>
      <c r="I143" s="46"/>
      <c r="J143" s="22"/>
      <c r="K143" s="22" t="s">
        <v>116</v>
      </c>
      <c r="L143" s="22"/>
      <c r="M143" s="22"/>
      <c r="N143" s="57"/>
      <c r="O143" s="258">
        <f>(F42-F46)*D31+(G42-G46)*E31+(H42-H45-H46)*F31+E115*G31+E116*H31+(I53*I60)</f>
        <v>342403.38275049056</v>
      </c>
      <c r="P143" s="46"/>
      <c r="Q143" s="22"/>
      <c r="R143" s="22"/>
      <c r="S143" s="22"/>
      <c r="T143" s="22"/>
    </row>
    <row r="144" spans="2:21" x14ac:dyDescent="0.25">
      <c r="B144" s="22"/>
      <c r="C144" s="22"/>
      <c r="D144" s="83"/>
      <c r="E144" s="83"/>
      <c r="F144" s="83"/>
      <c r="G144" s="83"/>
      <c r="H144" s="83"/>
      <c r="I144" s="22"/>
      <c r="J144" s="22"/>
      <c r="K144" s="22"/>
      <c r="L144" s="22"/>
      <c r="M144" s="22"/>
      <c r="N144" s="22"/>
      <c r="O144" s="83"/>
      <c r="P144" s="22"/>
      <c r="Q144" s="22"/>
      <c r="R144" s="22"/>
      <c r="S144" s="22"/>
      <c r="T144" s="22"/>
    </row>
    <row r="145" spans="2:20" ht="13" x14ac:dyDescent="0.3">
      <c r="B145" s="22" t="s">
        <v>117</v>
      </c>
      <c r="C145" s="57"/>
      <c r="D145" s="258">
        <f>D141-D142-D143</f>
        <v>231640.00963455666</v>
      </c>
      <c r="E145" s="174"/>
      <c r="F145" s="259">
        <f>IF(E$120&gt;0,D145/E$120,0)</f>
        <v>133.17600612486393</v>
      </c>
      <c r="G145" s="174"/>
      <c r="H145" s="259">
        <f>IF(I$120&gt;0,D145/I$120,0)</f>
        <v>154.42667308970445</v>
      </c>
      <c r="I145" s="46"/>
      <c r="J145" s="22"/>
      <c r="K145" s="22" t="s">
        <v>118</v>
      </c>
      <c r="L145" s="22"/>
      <c r="M145" s="175"/>
      <c r="N145" s="57"/>
      <c r="O145" s="258">
        <f>SUM(O141:O143)</f>
        <v>996849.64341196057</v>
      </c>
      <c r="P145" s="46"/>
      <c r="Q145" s="22"/>
      <c r="R145" s="22"/>
      <c r="S145" s="22"/>
      <c r="T145" s="22"/>
    </row>
    <row r="146" spans="2:20" ht="13" x14ac:dyDescent="0.3">
      <c r="B146" s="22" t="s">
        <v>119</v>
      </c>
      <c r="C146" s="57"/>
      <c r="D146" s="258">
        <f>D145-O146</f>
        <v>181797.52746395863</v>
      </c>
      <c r="E146" s="174"/>
      <c r="F146" s="259">
        <f>IF(E$120&gt;0,D146/E$120,0)</f>
        <v>104.52023667768576</v>
      </c>
      <c r="G146" s="174"/>
      <c r="H146" s="259">
        <f>IF(I$120&gt;0,D146/I$120,0)</f>
        <v>121.19835164263908</v>
      </c>
      <c r="I146" s="46"/>
      <c r="J146" s="22"/>
      <c r="K146" s="29" t="s">
        <v>327</v>
      </c>
      <c r="L146" s="42"/>
      <c r="M146" s="201">
        <v>0.05</v>
      </c>
      <c r="N146" s="22"/>
      <c r="O146" s="260">
        <f>M146*O145</f>
        <v>49842.482170598028</v>
      </c>
      <c r="P146" s="46"/>
      <c r="Q146" s="22"/>
      <c r="R146" s="22"/>
      <c r="S146" s="22"/>
      <c r="T146" s="22"/>
    </row>
    <row r="147" spans="2:20" ht="13" x14ac:dyDescent="0.3">
      <c r="B147" s="22"/>
      <c r="C147" s="22"/>
      <c r="D147" s="155"/>
      <c r="E147" s="155"/>
      <c r="F147" s="155"/>
      <c r="G147" s="155"/>
      <c r="H147" s="155"/>
      <c r="I147" s="22"/>
      <c r="J147" s="22"/>
      <c r="K147" s="22"/>
      <c r="L147" s="22"/>
      <c r="M147" s="175"/>
      <c r="N147" s="22"/>
      <c r="O147" s="155"/>
      <c r="P147" s="22"/>
      <c r="Q147" s="22"/>
      <c r="R147" s="22"/>
      <c r="S147" s="22"/>
      <c r="T147" s="22"/>
    </row>
    <row r="148" spans="2:20" x14ac:dyDescent="0.25">
      <c r="B148" s="22" t="s">
        <v>410</v>
      </c>
      <c r="C148" s="22"/>
      <c r="D148" s="22"/>
      <c r="E148" s="22"/>
      <c r="F148" s="156"/>
      <c r="G148" s="156"/>
      <c r="H148" s="156"/>
      <c r="I148" s="156"/>
      <c r="J148" s="154"/>
      <c r="K148" s="22"/>
      <c r="L148" s="22"/>
      <c r="M148" s="22"/>
      <c r="N148" s="22"/>
      <c r="O148" s="22"/>
      <c r="P148" s="22"/>
      <c r="Q148" s="22"/>
      <c r="R148" s="22"/>
      <c r="S148" s="22"/>
      <c r="T148" s="22"/>
    </row>
    <row r="149" spans="2:20" x14ac:dyDescent="0.25">
      <c r="B149" s="22"/>
      <c r="C149" s="22"/>
      <c r="D149" s="22"/>
      <c r="E149" s="22"/>
      <c r="F149" s="154"/>
      <c r="G149" s="154"/>
      <c r="H149" s="154"/>
      <c r="I149" s="154"/>
      <c r="J149" s="154"/>
      <c r="K149" s="22"/>
      <c r="L149" s="22"/>
      <c r="M149" s="22"/>
      <c r="N149" s="22"/>
      <c r="O149" s="22"/>
      <c r="P149" s="22"/>
      <c r="Q149" s="22"/>
      <c r="R149" s="22"/>
      <c r="S149" s="22"/>
      <c r="T149" s="22"/>
    </row>
    <row r="150" spans="2:20" ht="13" x14ac:dyDescent="0.3">
      <c r="B150" s="176" t="s">
        <v>272</v>
      </c>
      <c r="C150" s="22"/>
      <c r="D150" s="22"/>
      <c r="E150" s="22"/>
      <c r="F150" s="22"/>
      <c r="G150" s="22"/>
      <c r="H150" s="22"/>
      <c r="I150" s="22"/>
      <c r="J150" s="22"/>
      <c r="K150" s="22"/>
      <c r="L150" s="22"/>
      <c r="M150" s="22"/>
      <c r="N150" s="22"/>
      <c r="O150" s="22"/>
      <c r="P150" s="22"/>
      <c r="Q150" s="22"/>
      <c r="R150" s="22"/>
      <c r="S150" s="22"/>
      <c r="T150" s="22"/>
    </row>
    <row r="151" spans="2:20" ht="13" x14ac:dyDescent="0.3">
      <c r="B151" s="22"/>
      <c r="C151" s="22"/>
      <c r="D151" s="22"/>
      <c r="E151" s="152" t="s">
        <v>273</v>
      </c>
      <c r="F151" s="152"/>
      <c r="G151" s="152"/>
      <c r="H151" s="152"/>
      <c r="I151" s="152"/>
      <c r="J151" s="152"/>
      <c r="K151" s="152"/>
      <c r="L151" s="152"/>
      <c r="M151" s="152"/>
      <c r="N151" s="152"/>
      <c r="O151" s="152"/>
      <c r="P151" s="152"/>
      <c r="Q151" s="22"/>
      <c r="R151" s="22"/>
      <c r="S151" s="22"/>
      <c r="T151" s="22"/>
    </row>
    <row r="152" spans="2:20" ht="13" x14ac:dyDescent="0.3">
      <c r="B152" s="22"/>
      <c r="C152" s="22"/>
      <c r="D152" s="57"/>
      <c r="E152" s="202" t="s">
        <v>556</v>
      </c>
      <c r="F152" s="202"/>
      <c r="G152" s="203"/>
      <c r="H152" s="203"/>
      <c r="I152" s="203"/>
      <c r="J152" s="203"/>
      <c r="K152" s="203" t="str">
        <f>""</f>
        <v/>
      </c>
      <c r="L152" s="203" t="str">
        <f>""</f>
        <v/>
      </c>
      <c r="M152" s="203" t="str">
        <f>""</f>
        <v/>
      </c>
      <c r="N152" s="203" t="str">
        <f>""</f>
        <v/>
      </c>
      <c r="O152" s="203" t="str">
        <f>""</f>
        <v/>
      </c>
      <c r="P152" s="203" t="str">
        <f>""</f>
        <v/>
      </c>
      <c r="Q152" s="46"/>
      <c r="R152" s="22"/>
      <c r="S152" s="22"/>
      <c r="T152" s="22"/>
    </row>
    <row r="153" spans="2:20" ht="13" x14ac:dyDescent="0.3">
      <c r="B153" s="22"/>
      <c r="C153" s="22"/>
      <c r="D153" s="57"/>
      <c r="E153" s="392" t="s">
        <v>695</v>
      </c>
      <c r="F153" s="392"/>
      <c r="G153" s="203"/>
      <c r="H153" s="203"/>
      <c r="I153" s="203"/>
      <c r="J153" s="203"/>
      <c r="K153" s="203" t="str">
        <f>""</f>
        <v/>
      </c>
      <c r="L153" s="203" t="str">
        <f>""</f>
        <v/>
      </c>
      <c r="M153" s="203" t="str">
        <f>""</f>
        <v/>
      </c>
      <c r="N153" s="203" t="str">
        <f>""</f>
        <v/>
      </c>
      <c r="O153" s="203" t="str">
        <f>""</f>
        <v/>
      </c>
      <c r="P153" s="203" t="str">
        <f>""</f>
        <v/>
      </c>
      <c r="Q153" s="46"/>
      <c r="R153" s="22"/>
      <c r="S153" s="22"/>
      <c r="T153" s="22"/>
    </row>
    <row r="154" spans="2:20" ht="13" x14ac:dyDescent="0.3">
      <c r="B154" s="22" t="s">
        <v>274</v>
      </c>
      <c r="C154" s="22"/>
      <c r="D154" s="57"/>
      <c r="E154" s="204">
        <v>1500.0000000000002</v>
      </c>
      <c r="F154" s="204"/>
      <c r="G154" s="204"/>
      <c r="H154" s="204"/>
      <c r="I154" s="204"/>
      <c r="J154" s="204"/>
      <c r="K154" s="204"/>
      <c r="L154" s="204"/>
      <c r="M154" s="204"/>
      <c r="N154" s="204"/>
      <c r="O154" s="204"/>
      <c r="P154" s="204"/>
      <c r="Q154" s="46"/>
      <c r="R154" s="22"/>
      <c r="S154" s="22"/>
      <c r="T154" s="22"/>
    </row>
    <row r="155" spans="2:20" ht="13" x14ac:dyDescent="0.3">
      <c r="B155" s="22" t="s">
        <v>275</v>
      </c>
      <c r="C155" s="22"/>
      <c r="D155" s="57"/>
      <c r="E155" s="204">
        <v>1739.3524282247533</v>
      </c>
      <c r="F155" s="204"/>
      <c r="G155" s="204"/>
      <c r="H155" s="204"/>
      <c r="I155" s="204"/>
      <c r="J155" s="204"/>
      <c r="K155" s="204"/>
      <c r="L155" s="204"/>
      <c r="M155" s="204"/>
      <c r="N155" s="204"/>
      <c r="O155" s="204"/>
      <c r="P155" s="204"/>
      <c r="Q155" s="46"/>
      <c r="R155" s="22"/>
      <c r="S155" s="22"/>
      <c r="T155" s="22"/>
    </row>
    <row r="156" spans="2:20" ht="13" x14ac:dyDescent="0.3">
      <c r="B156" s="22" t="s">
        <v>276</v>
      </c>
      <c r="C156" s="22"/>
      <c r="D156" s="57"/>
      <c r="E156" s="204">
        <v>232.51107440439688</v>
      </c>
      <c r="F156" s="204"/>
      <c r="G156" s="204"/>
      <c r="H156" s="204"/>
      <c r="I156" s="204"/>
      <c r="J156" s="204"/>
      <c r="K156" s="204"/>
      <c r="L156" s="204"/>
      <c r="M156" s="204"/>
      <c r="N156" s="204"/>
      <c r="O156" s="204"/>
      <c r="P156" s="204"/>
      <c r="Q156" s="46"/>
      <c r="R156" s="22"/>
      <c r="S156" s="22"/>
      <c r="T156" s="22"/>
    </row>
    <row r="157" spans="2:20" ht="13" x14ac:dyDescent="0.3">
      <c r="B157" s="22" t="s">
        <v>277</v>
      </c>
      <c r="C157" s="22"/>
      <c r="D157" s="57"/>
      <c r="E157" s="204">
        <v>805.10884531058002</v>
      </c>
      <c r="F157" s="204"/>
      <c r="G157" s="204"/>
      <c r="H157" s="204"/>
      <c r="I157" s="204"/>
      <c r="J157" s="204"/>
      <c r="K157" s="204"/>
      <c r="L157" s="204"/>
      <c r="M157" s="204"/>
      <c r="N157" s="204"/>
      <c r="O157" s="204"/>
      <c r="P157" s="204"/>
      <c r="Q157" s="46"/>
      <c r="R157" s="22"/>
      <c r="S157" s="22"/>
      <c r="T157" s="22"/>
    </row>
    <row r="158" spans="2:20" ht="13" x14ac:dyDescent="0.3">
      <c r="B158" s="22" t="s">
        <v>278</v>
      </c>
      <c r="C158" s="22"/>
      <c r="D158" s="57"/>
      <c r="E158" s="204">
        <v>751.15408769699673</v>
      </c>
      <c r="F158" s="204"/>
      <c r="G158" s="204"/>
      <c r="H158" s="204"/>
      <c r="I158" s="204"/>
      <c r="J158" s="204"/>
      <c r="K158" s="395"/>
      <c r="L158" s="204"/>
      <c r="M158" s="204"/>
      <c r="N158" s="204"/>
      <c r="O158" s="204"/>
      <c r="P158" s="204"/>
      <c r="Q158" s="46"/>
      <c r="R158" s="22"/>
      <c r="S158" s="22"/>
      <c r="T158" s="22"/>
    </row>
    <row r="159" spans="2:20" ht="13" x14ac:dyDescent="0.3">
      <c r="B159" s="22" t="s">
        <v>279</v>
      </c>
      <c r="C159" s="22"/>
      <c r="D159" s="57"/>
      <c r="E159" s="204">
        <v>465.02214880879387</v>
      </c>
      <c r="F159" s="204"/>
      <c r="G159" s="204"/>
      <c r="H159" s="204"/>
      <c r="I159" s="204"/>
      <c r="J159" s="204"/>
      <c r="K159" s="204"/>
      <c r="L159" s="204"/>
      <c r="M159" s="204"/>
      <c r="N159" s="204"/>
      <c r="O159" s="204"/>
      <c r="P159" s="204"/>
      <c r="Q159" s="46"/>
      <c r="R159" s="22"/>
      <c r="S159" s="22"/>
      <c r="T159" s="22"/>
    </row>
    <row r="160" spans="2:20" ht="13" x14ac:dyDescent="0.3">
      <c r="B160" s="22" t="s">
        <v>280</v>
      </c>
      <c r="C160" s="22"/>
      <c r="D160" s="57"/>
      <c r="E160" s="205">
        <v>0.57758916886499512</v>
      </c>
      <c r="F160" s="205"/>
      <c r="G160" s="205"/>
      <c r="H160" s="205"/>
      <c r="I160" s="205"/>
      <c r="J160" s="205"/>
      <c r="K160" s="205"/>
      <c r="L160" s="205"/>
      <c r="M160" s="205"/>
      <c r="N160" s="205"/>
      <c r="O160" s="205"/>
      <c r="P160" s="205"/>
      <c r="Q160" s="46"/>
      <c r="R160" s="22"/>
      <c r="S160" s="22"/>
      <c r="T160" s="22"/>
    </row>
    <row r="161" spans="2:20" ht="13" x14ac:dyDescent="0.3">
      <c r="B161" s="22" t="s">
        <v>281</v>
      </c>
      <c r="C161" s="22"/>
      <c r="D161" s="57"/>
      <c r="E161" s="205">
        <v>0.61907690635689683</v>
      </c>
      <c r="F161" s="205"/>
      <c r="G161" s="205"/>
      <c r="H161" s="205"/>
      <c r="I161" s="205"/>
      <c r="J161" s="205"/>
      <c r="K161" s="205"/>
      <c r="L161" s="205"/>
      <c r="M161" s="205"/>
      <c r="N161" s="205"/>
      <c r="O161" s="205"/>
      <c r="P161" s="205"/>
      <c r="Q161" s="46"/>
      <c r="R161" s="22"/>
      <c r="S161" s="22"/>
      <c r="T161" s="22"/>
    </row>
    <row r="162" spans="2:20" ht="13" x14ac:dyDescent="0.3">
      <c r="B162" s="22" t="s">
        <v>282</v>
      </c>
      <c r="C162" s="22"/>
      <c r="D162" s="57"/>
      <c r="E162" s="218">
        <v>2.499999999999996E-2</v>
      </c>
      <c r="F162" s="218"/>
      <c r="G162" s="218"/>
      <c r="H162" s="218"/>
      <c r="I162" s="218"/>
      <c r="J162" s="218"/>
      <c r="K162" s="218"/>
      <c r="L162" s="218"/>
      <c r="M162" s="218"/>
      <c r="N162" s="218"/>
      <c r="O162" s="218"/>
      <c r="P162" s="218"/>
      <c r="Q162" s="46"/>
      <c r="R162" s="22"/>
      <c r="S162" s="22"/>
      <c r="T162" s="22"/>
    </row>
    <row r="163" spans="2:20" ht="13" x14ac:dyDescent="0.3">
      <c r="B163" s="22" t="s">
        <v>283</v>
      </c>
      <c r="C163" s="22"/>
      <c r="D163" s="57"/>
      <c r="E163" s="205">
        <v>0.47888037419442697</v>
      </c>
      <c r="F163" s="205"/>
      <c r="G163" s="205"/>
      <c r="H163" s="205"/>
      <c r="I163" s="205"/>
      <c r="J163" s="205"/>
      <c r="K163" s="205"/>
      <c r="L163" s="205"/>
      <c r="M163" s="205"/>
      <c r="N163" s="205"/>
      <c r="O163" s="205"/>
      <c r="P163" s="205"/>
      <c r="Q163" s="46"/>
      <c r="R163" s="22"/>
      <c r="S163" s="22"/>
      <c r="T163" s="22"/>
    </row>
    <row r="164" spans="2:20" ht="13" x14ac:dyDescent="0.3">
      <c r="B164" s="22"/>
      <c r="C164" s="22"/>
      <c r="D164" s="57"/>
      <c r="E164" s="206"/>
      <c r="F164" s="206"/>
      <c r="G164" s="206"/>
      <c r="H164" s="206"/>
      <c r="I164" s="206"/>
      <c r="J164" s="206"/>
      <c r="K164" s="206"/>
      <c r="L164" s="206"/>
      <c r="M164" s="206"/>
      <c r="N164" s="206"/>
      <c r="O164" s="206"/>
      <c r="P164" s="206"/>
      <c r="Q164" s="46"/>
      <c r="R164" s="22"/>
      <c r="S164" s="22"/>
      <c r="T164" s="22"/>
    </row>
    <row r="165" spans="2:20" ht="13" x14ac:dyDescent="0.3">
      <c r="B165" s="22" t="s">
        <v>284</v>
      </c>
      <c r="C165" s="22"/>
      <c r="D165" s="57"/>
      <c r="E165" s="204">
        <v>202.25198791325485</v>
      </c>
      <c r="F165" s="204"/>
      <c r="G165" s="204"/>
      <c r="H165" s="204"/>
      <c r="I165" s="204"/>
      <c r="J165" s="204"/>
      <c r="K165" s="204"/>
      <c r="L165" s="204"/>
      <c r="M165" s="204"/>
      <c r="N165" s="204"/>
      <c r="O165" s="204"/>
      <c r="P165" s="204"/>
      <c r="Q165" s="46"/>
      <c r="R165" s="22"/>
      <c r="S165" s="22"/>
      <c r="T165" s="22"/>
    </row>
    <row r="166" spans="2:20" ht="13" x14ac:dyDescent="0.3">
      <c r="B166" s="22" t="s">
        <v>285</v>
      </c>
      <c r="C166" s="22"/>
      <c r="D166" s="57"/>
      <c r="E166" s="204">
        <v>11</v>
      </c>
      <c r="F166" s="204"/>
      <c r="G166" s="204"/>
      <c r="H166" s="204"/>
      <c r="I166" s="204"/>
      <c r="J166" s="204"/>
      <c r="K166" s="204"/>
      <c r="L166" s="204"/>
      <c r="M166" s="204"/>
      <c r="N166" s="204"/>
      <c r="O166" s="204"/>
      <c r="P166" s="204"/>
      <c r="Q166" s="46"/>
      <c r="R166" s="22"/>
      <c r="S166" s="22"/>
      <c r="T166" s="22"/>
    </row>
    <row r="167" spans="2:20" ht="13" x14ac:dyDescent="0.3">
      <c r="B167" s="22" t="s">
        <v>286</v>
      </c>
      <c r="C167" s="22"/>
      <c r="D167" s="57"/>
      <c r="E167" s="204">
        <v>2</v>
      </c>
      <c r="F167" s="204"/>
      <c r="G167" s="204"/>
      <c r="H167" s="204"/>
      <c r="I167" s="204"/>
      <c r="J167" s="204"/>
      <c r="K167" s="204"/>
      <c r="L167" s="204"/>
      <c r="M167" s="204"/>
      <c r="N167" s="204"/>
      <c r="O167" s="204"/>
      <c r="P167" s="204"/>
      <c r="Q167" s="46"/>
      <c r="R167" s="22"/>
      <c r="S167" s="22"/>
      <c r="T167" s="22"/>
    </row>
    <row r="168" spans="2:20" ht="13" x14ac:dyDescent="0.3">
      <c r="B168" s="22" t="s">
        <v>411</v>
      </c>
      <c r="C168" s="22"/>
      <c r="D168" s="57"/>
      <c r="E168" s="205">
        <v>0</v>
      </c>
      <c r="F168" s="205"/>
      <c r="G168" s="205"/>
      <c r="H168" s="205"/>
      <c r="I168" s="205"/>
      <c r="J168" s="205"/>
      <c r="K168" s="205"/>
      <c r="L168" s="205"/>
      <c r="M168" s="205"/>
      <c r="N168" s="205"/>
      <c r="O168" s="205"/>
      <c r="P168" s="205"/>
      <c r="Q168" s="46"/>
      <c r="R168" s="22"/>
      <c r="S168" s="22"/>
      <c r="T168" s="22"/>
    </row>
    <row r="169" spans="2:20" ht="13" x14ac:dyDescent="0.3">
      <c r="B169" s="22" t="s">
        <v>412</v>
      </c>
      <c r="C169" s="22"/>
      <c r="D169" s="57"/>
      <c r="E169" s="205">
        <v>0</v>
      </c>
      <c r="F169" s="205"/>
      <c r="G169" s="205"/>
      <c r="H169" s="205"/>
      <c r="I169" s="205"/>
      <c r="J169" s="205"/>
      <c r="K169" s="205"/>
      <c r="L169" s="205"/>
      <c r="M169" s="205"/>
      <c r="N169" s="205"/>
      <c r="O169" s="205"/>
      <c r="P169" s="205"/>
      <c r="Q169" s="46"/>
      <c r="R169" s="22"/>
      <c r="S169" s="22"/>
      <c r="T169" s="22"/>
    </row>
    <row r="170" spans="2:20" ht="13" x14ac:dyDescent="0.3">
      <c r="B170" s="22" t="s">
        <v>413</v>
      </c>
      <c r="C170" s="22"/>
      <c r="D170" s="57"/>
      <c r="E170" s="205">
        <v>0.60550481725735461</v>
      </c>
      <c r="F170" s="205"/>
      <c r="G170" s="205"/>
      <c r="H170" s="205"/>
      <c r="I170" s="205"/>
      <c r="J170" s="205"/>
      <c r="K170" s="205"/>
      <c r="L170" s="205"/>
      <c r="M170" s="205"/>
      <c r="N170" s="205"/>
      <c r="O170" s="205"/>
      <c r="P170" s="205"/>
      <c r="Q170" s="46"/>
      <c r="R170" s="22"/>
      <c r="S170" s="22"/>
      <c r="T170" s="22"/>
    </row>
    <row r="171" spans="2:20" ht="13" x14ac:dyDescent="0.3">
      <c r="B171" s="22" t="s">
        <v>404</v>
      </c>
      <c r="C171" s="22"/>
      <c r="D171" s="57"/>
      <c r="E171" s="205">
        <v>0</v>
      </c>
      <c r="F171" s="205"/>
      <c r="G171" s="205"/>
      <c r="H171" s="205"/>
      <c r="I171" s="205"/>
      <c r="J171" s="205"/>
      <c r="K171" s="205"/>
      <c r="L171" s="205"/>
      <c r="M171" s="205"/>
      <c r="N171" s="205"/>
      <c r="O171" s="205"/>
      <c r="P171" s="205"/>
      <c r="Q171" s="46"/>
      <c r="R171" s="22"/>
      <c r="S171" s="22"/>
      <c r="T171" s="22"/>
    </row>
    <row r="172" spans="2:20" ht="13" x14ac:dyDescent="0.3">
      <c r="B172" s="22" t="s">
        <v>405</v>
      </c>
      <c r="C172" s="22"/>
      <c r="D172" s="57"/>
      <c r="E172" s="205">
        <v>0</v>
      </c>
      <c r="F172" s="205"/>
      <c r="G172" s="205"/>
      <c r="H172" s="205"/>
      <c r="I172" s="205"/>
      <c r="J172" s="205"/>
      <c r="K172" s="205"/>
      <c r="L172" s="205"/>
      <c r="M172" s="205"/>
      <c r="N172" s="205"/>
      <c r="O172" s="205"/>
      <c r="P172" s="205"/>
      <c r="Q172" s="46"/>
      <c r="R172" s="22"/>
      <c r="S172" s="22"/>
      <c r="T172" s="22"/>
    </row>
    <row r="173" spans="2:20" ht="13" x14ac:dyDescent="0.3">
      <c r="B173" s="22"/>
      <c r="C173" s="22"/>
      <c r="D173" s="57"/>
      <c r="E173" s="206"/>
      <c r="F173" s="206"/>
      <c r="G173" s="206"/>
      <c r="H173" s="206"/>
      <c r="I173" s="206"/>
      <c r="J173" s="206"/>
      <c r="K173" s="206"/>
      <c r="L173" s="206"/>
      <c r="M173" s="206"/>
      <c r="N173" s="206"/>
      <c r="O173" s="206"/>
      <c r="P173" s="206"/>
      <c r="Q173" s="46"/>
      <c r="R173" s="22"/>
      <c r="S173" s="22"/>
      <c r="T173" s="22"/>
    </row>
    <row r="174" spans="2:20" ht="13" x14ac:dyDescent="0.3">
      <c r="B174" s="22" t="s">
        <v>287</v>
      </c>
      <c r="C174" s="22"/>
      <c r="D174" s="57"/>
      <c r="E174" s="204">
        <v>220.09145903523068</v>
      </c>
      <c r="F174" s="204"/>
      <c r="G174" s="204"/>
      <c r="H174" s="204"/>
      <c r="I174" s="204"/>
      <c r="J174" s="204"/>
      <c r="K174" s="204"/>
      <c r="L174" s="204"/>
      <c r="M174" s="204"/>
      <c r="N174" s="204"/>
      <c r="O174" s="204"/>
      <c r="P174" s="204"/>
      <c r="Q174" s="46"/>
      <c r="R174" s="22"/>
      <c r="S174" s="22"/>
      <c r="T174" s="22"/>
    </row>
    <row r="175" spans="2:20" ht="13" x14ac:dyDescent="0.3">
      <c r="B175" s="22" t="s">
        <v>288</v>
      </c>
      <c r="C175" s="22"/>
      <c r="D175" s="57"/>
      <c r="E175" s="204">
        <v>3</v>
      </c>
      <c r="F175" s="204"/>
      <c r="G175" s="204"/>
      <c r="H175" s="204"/>
      <c r="I175" s="204"/>
      <c r="J175" s="204"/>
      <c r="K175" s="204"/>
      <c r="L175" s="204"/>
      <c r="M175" s="204"/>
      <c r="N175" s="204"/>
      <c r="O175" s="204"/>
      <c r="P175" s="204"/>
      <c r="Q175" s="46"/>
      <c r="R175" s="22"/>
      <c r="S175" s="22"/>
      <c r="T175" s="22"/>
    </row>
    <row r="176" spans="2:20" ht="13" x14ac:dyDescent="0.3">
      <c r="B176" s="22"/>
      <c r="C176" s="22"/>
      <c r="D176" s="57"/>
      <c r="E176" s="207"/>
      <c r="F176" s="207"/>
      <c r="G176" s="207"/>
      <c r="H176" s="207"/>
      <c r="I176" s="207"/>
      <c r="J176" s="207"/>
      <c r="K176" s="207"/>
      <c r="L176" s="207"/>
      <c r="M176" s="207"/>
      <c r="N176" s="207"/>
      <c r="O176" s="207"/>
      <c r="P176" s="207"/>
      <c r="Q176" s="46"/>
      <c r="R176" s="22"/>
      <c r="S176" s="22"/>
      <c r="T176" s="22"/>
    </row>
    <row r="177" spans="2:20" ht="13" x14ac:dyDescent="0.3">
      <c r="B177" s="22" t="s">
        <v>289</v>
      </c>
      <c r="C177" s="22"/>
      <c r="D177" s="57"/>
      <c r="E177" s="261">
        <v>671.27</v>
      </c>
      <c r="F177" s="261"/>
      <c r="G177" s="261"/>
      <c r="H177" s="261"/>
      <c r="I177" s="261"/>
      <c r="J177" s="261"/>
      <c r="K177" s="261"/>
      <c r="L177" s="261"/>
      <c r="M177" s="261"/>
      <c r="N177" s="261"/>
      <c r="O177" s="261"/>
      <c r="P177" s="261"/>
      <c r="Q177" s="46"/>
      <c r="R177" s="22"/>
      <c r="S177" s="22"/>
      <c r="T177" s="22"/>
    </row>
    <row r="178" spans="2:20" ht="13" x14ac:dyDescent="0.3">
      <c r="B178" s="22" t="s">
        <v>290</v>
      </c>
      <c r="C178" s="22"/>
      <c r="D178" s="57"/>
      <c r="E178" s="261">
        <v>841.87</v>
      </c>
      <c r="F178" s="261"/>
      <c r="G178" s="261"/>
      <c r="H178" s="261"/>
      <c r="I178" s="261"/>
      <c r="J178" s="261"/>
      <c r="K178" s="261"/>
      <c r="L178" s="261"/>
      <c r="M178" s="261"/>
      <c r="N178" s="261"/>
      <c r="O178" s="261"/>
      <c r="P178" s="261"/>
      <c r="Q178" s="46"/>
      <c r="R178" s="22"/>
      <c r="S178" s="22"/>
      <c r="T178" s="22"/>
    </row>
    <row r="179" spans="2:20" ht="13" x14ac:dyDescent="0.3">
      <c r="B179" s="22"/>
      <c r="C179" s="22"/>
      <c r="D179" s="57"/>
      <c r="E179" s="262"/>
      <c r="F179" s="262"/>
      <c r="G179" s="262"/>
      <c r="H179" s="262"/>
      <c r="I179" s="262"/>
      <c r="J179" s="262"/>
      <c r="K179" s="262"/>
      <c r="L179" s="262"/>
      <c r="M179" s="262"/>
      <c r="N179" s="262"/>
      <c r="O179" s="262"/>
      <c r="P179" s="262"/>
      <c r="Q179" s="46"/>
      <c r="R179" s="22"/>
      <c r="S179" s="22"/>
      <c r="T179" s="22"/>
    </row>
    <row r="180" spans="2:20" ht="13" x14ac:dyDescent="0.3">
      <c r="B180" s="22" t="s">
        <v>291</v>
      </c>
      <c r="C180" s="22"/>
      <c r="D180" s="57"/>
      <c r="E180" s="263">
        <v>996849.64</v>
      </c>
      <c r="F180" s="263"/>
      <c r="G180" s="263"/>
      <c r="H180" s="263"/>
      <c r="I180" s="263"/>
      <c r="J180" s="263"/>
      <c r="K180" s="263"/>
      <c r="L180" s="263"/>
      <c r="M180" s="263"/>
      <c r="N180" s="263"/>
      <c r="O180" s="263"/>
      <c r="P180" s="263"/>
      <c r="Q180" s="46"/>
      <c r="R180" s="22"/>
      <c r="S180" s="22"/>
      <c r="T180" s="22"/>
    </row>
    <row r="181" spans="2:20" ht="13" x14ac:dyDescent="0.3">
      <c r="B181" s="22" t="s">
        <v>292</v>
      </c>
      <c r="C181" s="22"/>
      <c r="D181" s="57"/>
      <c r="E181" s="263">
        <v>49842.48</v>
      </c>
      <c r="F181" s="263"/>
      <c r="G181" s="263"/>
      <c r="H181" s="263"/>
      <c r="I181" s="263"/>
      <c r="J181" s="263"/>
      <c r="K181" s="263"/>
      <c r="L181" s="263"/>
      <c r="M181" s="263"/>
      <c r="N181" s="263"/>
      <c r="O181" s="263"/>
      <c r="P181" s="263"/>
      <c r="Q181" s="46"/>
      <c r="R181" s="22"/>
      <c r="S181" s="22"/>
      <c r="T181" s="22"/>
    </row>
    <row r="182" spans="2:20" ht="13" x14ac:dyDescent="0.3">
      <c r="B182" s="22"/>
      <c r="C182" s="22"/>
      <c r="D182" s="57"/>
      <c r="E182" s="264"/>
      <c r="F182" s="264"/>
      <c r="G182" s="264"/>
      <c r="H182" s="264"/>
      <c r="I182" s="264"/>
      <c r="J182" s="264"/>
      <c r="K182" s="264"/>
      <c r="L182" s="264"/>
      <c r="M182" s="264"/>
      <c r="N182" s="264"/>
      <c r="O182" s="264"/>
      <c r="P182" s="264"/>
      <c r="Q182" s="46"/>
      <c r="R182" s="22"/>
      <c r="S182" s="22"/>
      <c r="T182" s="22"/>
    </row>
    <row r="183" spans="2:20" ht="13" x14ac:dyDescent="0.3">
      <c r="B183" s="22" t="s">
        <v>293</v>
      </c>
      <c r="C183" s="22"/>
      <c r="D183" s="57"/>
      <c r="E183" s="263">
        <v>321055.96999999997</v>
      </c>
      <c r="F183" s="263"/>
      <c r="G183" s="263"/>
      <c r="H183" s="263"/>
      <c r="I183" s="263"/>
      <c r="J183" s="263"/>
      <c r="K183" s="263"/>
      <c r="L183" s="263"/>
      <c r="M183" s="263"/>
      <c r="N183" s="263"/>
      <c r="O183" s="263"/>
      <c r="P183" s="263"/>
      <c r="Q183" s="46"/>
      <c r="R183" s="22"/>
      <c r="S183" s="22"/>
      <c r="T183" s="22"/>
    </row>
    <row r="184" spans="2:20" ht="13" x14ac:dyDescent="0.3">
      <c r="B184" s="22" t="s">
        <v>294</v>
      </c>
      <c r="C184" s="22"/>
      <c r="D184" s="57"/>
      <c r="E184" s="263">
        <v>63107.41</v>
      </c>
      <c r="F184" s="263"/>
      <c r="G184" s="263"/>
      <c r="H184" s="263"/>
      <c r="I184" s="263"/>
      <c r="J184" s="263"/>
      <c r="K184" s="263"/>
      <c r="L184" s="263"/>
      <c r="M184" s="263"/>
      <c r="N184" s="263"/>
      <c r="O184" s="263"/>
      <c r="P184" s="263"/>
      <c r="Q184" s="46"/>
      <c r="R184" s="22"/>
      <c r="S184" s="22"/>
      <c r="T184" s="22"/>
    </row>
    <row r="185" spans="2:20" ht="13" x14ac:dyDescent="0.3">
      <c r="B185" s="22" t="s">
        <v>295</v>
      </c>
      <c r="C185" s="22"/>
      <c r="D185" s="57"/>
      <c r="E185" s="263">
        <v>26308.54</v>
      </c>
      <c r="F185" s="263"/>
      <c r="G185" s="263"/>
      <c r="H185" s="263"/>
      <c r="I185" s="263"/>
      <c r="J185" s="263"/>
      <c r="K185" s="263"/>
      <c r="L185" s="263"/>
      <c r="M185" s="263"/>
      <c r="N185" s="263"/>
      <c r="O185" s="263"/>
      <c r="P185" s="263"/>
      <c r="Q185" s="46"/>
      <c r="R185" s="22"/>
      <c r="S185" s="22"/>
      <c r="T185" s="22"/>
    </row>
    <row r="186" spans="2:20" ht="13" x14ac:dyDescent="0.3">
      <c r="B186" s="22"/>
      <c r="C186" s="22"/>
      <c r="D186" s="57"/>
      <c r="E186" s="264"/>
      <c r="F186" s="264"/>
      <c r="G186" s="264"/>
      <c r="H186" s="264"/>
      <c r="I186" s="264"/>
      <c r="J186" s="264"/>
      <c r="K186" s="264"/>
      <c r="L186" s="264"/>
      <c r="M186" s="264"/>
      <c r="N186" s="264"/>
      <c r="O186" s="264"/>
      <c r="P186" s="264"/>
      <c r="Q186" s="46"/>
      <c r="R186" s="22"/>
      <c r="S186" s="22"/>
      <c r="T186" s="22"/>
    </row>
    <row r="187" spans="2:20" ht="13" x14ac:dyDescent="0.3">
      <c r="B187" s="22" t="s">
        <v>296</v>
      </c>
      <c r="C187" s="22"/>
      <c r="D187" s="57"/>
      <c r="E187" s="263">
        <v>231640.01</v>
      </c>
      <c r="F187" s="263"/>
      <c r="G187" s="263"/>
      <c r="H187" s="263"/>
      <c r="I187" s="263"/>
      <c r="J187" s="263"/>
      <c r="K187" s="263"/>
      <c r="L187" s="263"/>
      <c r="M187" s="263"/>
      <c r="N187" s="263"/>
      <c r="O187" s="263"/>
      <c r="P187" s="263"/>
      <c r="Q187" s="46"/>
      <c r="R187" s="22"/>
      <c r="S187" s="22"/>
      <c r="T187" s="22"/>
    </row>
    <row r="188" spans="2:20" ht="13" x14ac:dyDescent="0.3">
      <c r="B188" s="22" t="s">
        <v>297</v>
      </c>
      <c r="C188" s="22"/>
      <c r="D188" s="57"/>
      <c r="E188" s="263">
        <v>181797.53</v>
      </c>
      <c r="F188" s="263"/>
      <c r="G188" s="263"/>
      <c r="H188" s="263"/>
      <c r="I188" s="263"/>
      <c r="J188" s="263"/>
      <c r="K188" s="263"/>
      <c r="L188" s="263"/>
      <c r="M188" s="263"/>
      <c r="N188" s="263"/>
      <c r="O188" s="263"/>
      <c r="P188" s="263"/>
      <c r="Q188" s="46"/>
      <c r="R188" s="22"/>
      <c r="S188" s="22"/>
      <c r="T188" s="22"/>
    </row>
    <row r="189" spans="2:20" ht="13" x14ac:dyDescent="0.3">
      <c r="B189" s="22"/>
      <c r="C189" s="22"/>
      <c r="D189" s="57"/>
      <c r="E189" s="262"/>
      <c r="F189" s="262"/>
      <c r="G189" s="262"/>
      <c r="H189" s="262"/>
      <c r="I189" s="262"/>
      <c r="J189" s="262"/>
      <c r="K189" s="262"/>
      <c r="L189" s="262"/>
      <c r="M189" s="262"/>
      <c r="N189" s="262"/>
      <c r="O189" s="262"/>
      <c r="P189" s="262"/>
      <c r="Q189" s="46"/>
      <c r="R189" s="22"/>
      <c r="S189" s="22"/>
      <c r="T189" s="22"/>
    </row>
    <row r="190" spans="2:20" ht="13" x14ac:dyDescent="0.3">
      <c r="B190" s="22" t="s">
        <v>298</v>
      </c>
      <c r="C190" s="22"/>
      <c r="D190" s="57"/>
      <c r="E190" s="263">
        <v>154.43</v>
      </c>
      <c r="F190" s="263"/>
      <c r="G190" s="263"/>
      <c r="H190" s="263"/>
      <c r="I190" s="263"/>
      <c r="J190" s="263"/>
      <c r="K190" s="263"/>
      <c r="L190" s="263"/>
      <c r="M190" s="263"/>
      <c r="N190" s="263"/>
      <c r="O190" s="263"/>
      <c r="P190" s="263"/>
      <c r="Q190" s="46"/>
      <c r="R190" s="22"/>
      <c r="S190" s="22"/>
      <c r="T190" s="22"/>
    </row>
    <row r="191" spans="2:20" ht="13" x14ac:dyDescent="0.3">
      <c r="B191" s="22" t="s">
        <v>299</v>
      </c>
      <c r="C191" s="22"/>
      <c r="D191" s="57"/>
      <c r="E191" s="263">
        <v>121.2</v>
      </c>
      <c r="F191" s="263"/>
      <c r="G191" s="263"/>
      <c r="H191" s="263"/>
      <c r="I191" s="263"/>
      <c r="J191" s="263"/>
      <c r="K191" s="263"/>
      <c r="L191" s="263"/>
      <c r="M191" s="263"/>
      <c r="N191" s="263"/>
      <c r="O191" s="263"/>
      <c r="P191" s="263"/>
      <c r="Q191" s="46"/>
      <c r="R191" s="22"/>
      <c r="S191" s="22"/>
      <c r="T191" s="22"/>
    </row>
    <row r="192" spans="2:20" ht="13.5" thickBot="1" x14ac:dyDescent="0.35">
      <c r="B192" s="22"/>
      <c r="C192" s="22"/>
      <c r="D192" s="22"/>
      <c r="E192" s="155"/>
      <c r="F192" s="155"/>
      <c r="G192" s="155"/>
      <c r="H192" s="155"/>
      <c r="I192" s="155"/>
      <c r="J192" s="177" t="s">
        <v>300</v>
      </c>
      <c r="K192" s="177"/>
      <c r="L192" s="177"/>
      <c r="M192" s="177"/>
      <c r="N192" s="177"/>
      <c r="O192" s="177"/>
      <c r="P192" s="177"/>
      <c r="Q192" s="22"/>
      <c r="R192" s="22"/>
      <c r="S192" s="22"/>
      <c r="T192" s="22"/>
    </row>
    <row r="193" spans="2:20" ht="13.5" thickTop="1" x14ac:dyDescent="0.3">
      <c r="B193" s="151" t="s">
        <v>301</v>
      </c>
      <c r="C193" s="22"/>
      <c r="D193" s="22"/>
      <c r="E193" s="265" t="s">
        <v>461</v>
      </c>
      <c r="F193" s="89"/>
      <c r="G193" s="211" t="s">
        <v>462</v>
      </c>
      <c r="H193" s="22"/>
      <c r="I193" s="178"/>
      <c r="J193" s="208" t="str">
        <f>""</f>
        <v/>
      </c>
      <c r="K193" s="11"/>
      <c r="L193" s="11"/>
      <c r="M193" s="11"/>
      <c r="N193" s="11"/>
      <c r="O193" s="11"/>
      <c r="P193" s="11"/>
      <c r="Q193" s="179"/>
      <c r="R193" s="22"/>
      <c r="S193" s="22"/>
      <c r="T193" s="22"/>
    </row>
    <row r="194" spans="2:20" ht="13" x14ac:dyDescent="0.3">
      <c r="B194" s="22"/>
      <c r="C194" s="22"/>
      <c r="D194" s="22"/>
      <c r="E194" s="266" t="s">
        <v>463</v>
      </c>
      <c r="F194" s="89"/>
      <c r="G194" s="212" t="s">
        <v>464</v>
      </c>
      <c r="H194" s="22"/>
      <c r="I194" s="178"/>
      <c r="J194" s="208"/>
      <c r="K194" s="11"/>
      <c r="L194" s="11"/>
      <c r="M194" s="11"/>
      <c r="N194" s="11"/>
      <c r="O194" s="11"/>
      <c r="P194" s="11"/>
      <c r="Q194" s="179"/>
      <c r="R194" s="22"/>
      <c r="S194" s="22"/>
      <c r="T194" s="22"/>
    </row>
    <row r="195" spans="2:20" ht="13" x14ac:dyDescent="0.3">
      <c r="B195" s="22" t="s">
        <v>302</v>
      </c>
      <c r="C195" s="22"/>
      <c r="D195" s="57"/>
      <c r="E195" s="267">
        <v>0</v>
      </c>
      <c r="F195" s="180"/>
      <c r="G195" s="268">
        <f>Prices!L42</f>
        <v>311.00783999999999</v>
      </c>
      <c r="H195" s="217" t="str">
        <f>IF($F$38=0,"selected sale age","")</f>
        <v/>
      </c>
      <c r="I195" s="178"/>
      <c r="J195" s="208" t="str">
        <f>""</f>
        <v/>
      </c>
      <c r="K195" s="11"/>
      <c r="L195" s="11"/>
      <c r="M195" s="11"/>
      <c r="N195" s="11"/>
      <c r="O195" s="11"/>
      <c r="P195" s="11"/>
      <c r="Q195" s="179"/>
      <c r="R195" s="22"/>
      <c r="S195" s="22"/>
      <c r="T195" s="22"/>
    </row>
    <row r="196" spans="2:20" ht="13" x14ac:dyDescent="0.3">
      <c r="B196" s="22" t="s">
        <v>305</v>
      </c>
      <c r="C196" s="22"/>
      <c r="D196" s="57"/>
      <c r="E196" s="269">
        <v>0</v>
      </c>
      <c r="F196" s="181"/>
      <c r="G196" s="270">
        <f>Prices!L43</f>
        <v>571.46799999999996</v>
      </c>
      <c r="H196" s="217" t="str">
        <f>IF($F$38=1,"selected sale age","")</f>
        <v/>
      </c>
      <c r="I196" s="178"/>
      <c r="J196" s="208" t="str">
        <f>""</f>
        <v/>
      </c>
      <c r="K196" s="11"/>
      <c r="L196" s="11"/>
      <c r="M196" s="11"/>
      <c r="N196" s="11"/>
      <c r="O196" s="11"/>
      <c r="P196" s="11"/>
      <c r="Q196" s="179"/>
      <c r="R196" s="22"/>
      <c r="S196" s="22"/>
      <c r="T196" s="22"/>
    </row>
    <row r="197" spans="2:20" ht="13" x14ac:dyDescent="0.3">
      <c r="B197" s="22" t="s">
        <v>307</v>
      </c>
      <c r="C197" s="22"/>
      <c r="D197" s="57"/>
      <c r="E197" s="269">
        <v>0</v>
      </c>
      <c r="F197" s="181"/>
      <c r="G197" s="270">
        <f>Prices!L44</f>
        <v>843.16624000000002</v>
      </c>
      <c r="H197" s="217" t="str">
        <f>IF($F$38=2,"selected sale age","")</f>
        <v/>
      </c>
      <c r="I197" s="178"/>
      <c r="J197" s="208" t="str">
        <f>""</f>
        <v/>
      </c>
      <c r="K197" s="11"/>
      <c r="L197" s="11"/>
      <c r="M197" s="11"/>
      <c r="N197" s="11"/>
      <c r="O197" s="11"/>
      <c r="P197" s="11"/>
      <c r="Q197" s="179"/>
      <c r="R197" s="22"/>
      <c r="S197" s="22"/>
      <c r="T197" s="22"/>
    </row>
    <row r="198" spans="2:20" ht="13" x14ac:dyDescent="0.3">
      <c r="B198" s="22" t="s">
        <v>309</v>
      </c>
      <c r="C198" s="22"/>
      <c r="D198" s="57"/>
      <c r="E198" s="269">
        <v>0</v>
      </c>
      <c r="F198" s="181"/>
      <c r="G198" s="270">
        <f>Prices!L45</f>
        <v>835.40751999999998</v>
      </c>
      <c r="H198" s="217" t="str">
        <f>IF($F$38=3,"selected sale age","")</f>
        <v>selected sale age</v>
      </c>
      <c r="I198" s="178"/>
      <c r="J198" s="208" t="str">
        <f>""</f>
        <v/>
      </c>
      <c r="K198" s="11"/>
      <c r="L198" s="11"/>
      <c r="M198" s="11"/>
      <c r="N198" s="11"/>
      <c r="O198" s="11"/>
      <c r="P198" s="11"/>
      <c r="Q198" s="179"/>
      <c r="R198" s="22"/>
      <c r="S198" s="22"/>
      <c r="T198" s="22"/>
    </row>
    <row r="199" spans="2:20" ht="13" x14ac:dyDescent="0.3">
      <c r="B199" s="22" t="s">
        <v>311</v>
      </c>
      <c r="C199" s="22"/>
      <c r="D199" s="57"/>
      <c r="E199" s="269">
        <v>0</v>
      </c>
      <c r="F199" s="181"/>
      <c r="G199" s="271">
        <f>Prices!L46</f>
        <v>0</v>
      </c>
      <c r="H199" s="217" t="str">
        <f>IF($F$38=4,"selected sale age","")</f>
        <v/>
      </c>
      <c r="I199" s="182"/>
      <c r="J199" s="208" t="str">
        <f>""</f>
        <v/>
      </c>
      <c r="K199" s="11"/>
      <c r="L199" s="11"/>
      <c r="M199" s="11"/>
      <c r="N199" s="11"/>
      <c r="O199" s="11"/>
      <c r="P199" s="11"/>
      <c r="Q199" s="179"/>
      <c r="R199" s="22"/>
      <c r="S199" s="22"/>
      <c r="T199" s="22"/>
    </row>
    <row r="200" spans="2:20" ht="13" x14ac:dyDescent="0.3">
      <c r="B200" s="22"/>
      <c r="C200" s="22"/>
      <c r="D200" s="22"/>
      <c r="E200" s="155"/>
      <c r="F200" s="22"/>
      <c r="G200" s="22"/>
      <c r="H200" s="22"/>
      <c r="I200" s="178"/>
      <c r="J200" s="208" t="str">
        <f>""</f>
        <v/>
      </c>
      <c r="K200" s="11"/>
      <c r="L200" s="11"/>
      <c r="M200" s="11"/>
      <c r="N200" s="11"/>
      <c r="O200" s="11"/>
      <c r="P200" s="11"/>
      <c r="Q200" s="179"/>
      <c r="R200" s="22"/>
      <c r="S200" s="22"/>
      <c r="T200" s="22"/>
    </row>
    <row r="201" spans="2:20" ht="13" x14ac:dyDescent="0.3">
      <c r="B201" s="213" t="s">
        <v>303</v>
      </c>
      <c r="C201" s="214" t="s">
        <v>304</v>
      </c>
      <c r="D201" s="90"/>
      <c r="E201" s="90"/>
      <c r="F201" s="215" t="s">
        <v>465</v>
      </c>
      <c r="G201" s="156"/>
      <c r="H201" s="156"/>
      <c r="I201" s="183"/>
      <c r="J201" s="208" t="str">
        <f>""</f>
        <v/>
      </c>
      <c r="K201" s="11"/>
      <c r="L201" s="11"/>
      <c r="M201" s="11"/>
      <c r="N201" s="11"/>
      <c r="O201" s="11"/>
      <c r="P201" s="11"/>
      <c r="Q201" s="179"/>
      <c r="R201" s="22"/>
      <c r="S201" s="22"/>
      <c r="T201" s="22"/>
    </row>
    <row r="202" spans="2:20" ht="13" x14ac:dyDescent="0.3">
      <c r="B202" s="175"/>
      <c r="C202" s="214" t="s">
        <v>306</v>
      </c>
      <c r="D202" s="90"/>
      <c r="E202" s="90"/>
      <c r="F202" s="215" t="s">
        <v>466</v>
      </c>
      <c r="G202" s="22"/>
      <c r="H202" s="89"/>
      <c r="I202" s="178"/>
      <c r="J202" s="208" t="str">
        <f>""</f>
        <v/>
      </c>
      <c r="K202" s="11"/>
      <c r="L202" s="11"/>
      <c r="M202" s="11"/>
      <c r="N202" s="11"/>
      <c r="O202" s="11"/>
      <c r="P202" s="11"/>
      <c r="Q202" s="179"/>
      <c r="R202" s="22"/>
      <c r="S202" s="22"/>
      <c r="T202" s="22"/>
    </row>
    <row r="203" spans="2:20" ht="13" x14ac:dyDescent="0.3">
      <c r="B203" s="175"/>
      <c r="C203" s="214" t="s">
        <v>308</v>
      </c>
      <c r="D203" s="90"/>
      <c r="E203" s="90"/>
      <c r="F203" s="215" t="s">
        <v>467</v>
      </c>
      <c r="G203" s="22"/>
      <c r="H203" s="22"/>
      <c r="I203" s="178"/>
      <c r="J203" s="208" t="str">
        <f>""</f>
        <v/>
      </c>
      <c r="K203" s="11"/>
      <c r="L203" s="11"/>
      <c r="M203" s="11"/>
      <c r="N203" s="11"/>
      <c r="O203" s="11"/>
      <c r="P203" s="11"/>
      <c r="Q203" s="179"/>
      <c r="R203" s="22"/>
      <c r="S203" s="22"/>
      <c r="T203" s="22"/>
    </row>
    <row r="204" spans="2:20" ht="13" x14ac:dyDescent="0.3">
      <c r="B204" s="175"/>
      <c r="C204" s="214" t="s">
        <v>310</v>
      </c>
      <c r="D204" s="90"/>
      <c r="E204" s="90"/>
      <c r="F204" s="215"/>
      <c r="G204" s="22"/>
      <c r="H204" s="22"/>
      <c r="I204" s="178"/>
      <c r="J204" s="208" t="str">
        <f>""</f>
        <v/>
      </c>
      <c r="K204" s="11"/>
      <c r="L204" s="11"/>
      <c r="M204" s="11"/>
      <c r="N204" s="11"/>
      <c r="O204" s="11"/>
      <c r="P204" s="11"/>
      <c r="Q204" s="179"/>
      <c r="R204" s="22"/>
      <c r="S204" s="22"/>
      <c r="T204" s="22"/>
    </row>
    <row r="205" spans="2:20" ht="13" x14ac:dyDescent="0.3">
      <c r="B205" s="175"/>
      <c r="C205" s="214" t="s">
        <v>312</v>
      </c>
      <c r="D205" s="90"/>
      <c r="E205" s="90"/>
      <c r="F205" s="215" t="s">
        <v>468</v>
      </c>
      <c r="G205" s="22"/>
      <c r="H205" s="22"/>
      <c r="I205" s="178"/>
      <c r="J205" s="208" t="str">
        <f>""</f>
        <v/>
      </c>
      <c r="K205" s="11"/>
      <c r="L205" s="11"/>
      <c r="M205" s="11"/>
      <c r="N205" s="11"/>
      <c r="O205" s="11"/>
      <c r="P205" s="11"/>
      <c r="Q205" s="179"/>
      <c r="R205" s="22"/>
      <c r="S205" s="22"/>
      <c r="T205" s="22"/>
    </row>
    <row r="206" spans="2:20" ht="13" x14ac:dyDescent="0.3">
      <c r="B206" s="216"/>
      <c r="C206" s="216"/>
      <c r="D206" s="89"/>
      <c r="E206" s="89"/>
      <c r="F206" s="215" t="s">
        <v>469</v>
      </c>
      <c r="G206" s="22"/>
      <c r="H206" s="22"/>
      <c r="I206" s="178"/>
      <c r="J206" s="208" t="str">
        <f>""</f>
        <v/>
      </c>
      <c r="K206" s="11"/>
      <c r="L206" s="11"/>
      <c r="M206" s="11"/>
      <c r="N206" s="11"/>
      <c r="O206" s="11"/>
      <c r="P206" s="11"/>
      <c r="Q206" s="179"/>
      <c r="R206" s="22"/>
      <c r="S206" s="22"/>
      <c r="T206" s="22"/>
    </row>
    <row r="207" spans="2:20" ht="13" x14ac:dyDescent="0.3">
      <c r="B207" s="216"/>
      <c r="C207" s="216"/>
      <c r="D207" s="89"/>
      <c r="E207" s="89"/>
      <c r="F207" s="215" t="s">
        <v>470</v>
      </c>
      <c r="G207" s="22"/>
      <c r="H207" s="22"/>
      <c r="I207" s="178"/>
      <c r="J207" s="208" t="str">
        <f>""</f>
        <v/>
      </c>
      <c r="K207" s="11"/>
      <c r="L207" s="11"/>
      <c r="M207" s="11"/>
      <c r="N207" s="11"/>
      <c r="O207" s="11"/>
      <c r="P207" s="11"/>
      <c r="Q207" s="179"/>
      <c r="R207" s="22"/>
      <c r="S207" s="22"/>
      <c r="T207" s="22"/>
    </row>
    <row r="208" spans="2:20" ht="13" x14ac:dyDescent="0.3">
      <c r="B208" s="216"/>
      <c r="C208" s="215"/>
      <c r="D208" s="215"/>
      <c r="E208" s="215"/>
      <c r="F208" s="215" t="s">
        <v>471</v>
      </c>
      <c r="G208" s="22"/>
      <c r="H208" s="22"/>
      <c r="I208" s="178"/>
      <c r="J208" s="208" t="str">
        <f>""</f>
        <v/>
      </c>
      <c r="K208" s="11"/>
      <c r="L208" s="11"/>
      <c r="M208" s="11"/>
      <c r="N208" s="11"/>
      <c r="O208" s="11"/>
      <c r="P208" s="11"/>
      <c r="Q208" s="179"/>
      <c r="R208" s="22"/>
      <c r="S208" s="22"/>
      <c r="T208" s="22"/>
    </row>
    <row r="209" spans="2:20" ht="13" x14ac:dyDescent="0.3">
      <c r="B209" s="216"/>
      <c r="C209" s="215"/>
      <c r="D209" s="215"/>
      <c r="E209" s="215"/>
      <c r="F209" s="215"/>
      <c r="G209" s="22"/>
      <c r="H209" s="22"/>
      <c r="I209" s="178"/>
      <c r="J209" s="208" t="str">
        <f>""</f>
        <v/>
      </c>
      <c r="K209" s="11"/>
      <c r="L209" s="11"/>
      <c r="M209" s="11"/>
      <c r="N209" s="11"/>
      <c r="O209" s="11"/>
      <c r="P209" s="11"/>
      <c r="Q209" s="179"/>
      <c r="R209" s="22"/>
      <c r="S209" s="22"/>
      <c r="T209" s="22"/>
    </row>
    <row r="210" spans="2:20" ht="13" x14ac:dyDescent="0.3">
      <c r="B210" s="184"/>
      <c r="C210" s="184"/>
      <c r="D210" s="22"/>
      <c r="E210" s="2"/>
      <c r="F210" s="22"/>
      <c r="G210" s="22"/>
      <c r="H210" s="22"/>
      <c r="I210" s="178"/>
      <c r="J210" s="208" t="str">
        <f>""</f>
        <v/>
      </c>
      <c r="K210" s="11"/>
      <c r="L210" s="11"/>
      <c r="M210" s="11"/>
      <c r="N210" s="11"/>
      <c r="O210" s="11"/>
      <c r="P210" s="11"/>
      <c r="Q210" s="179"/>
      <c r="R210" s="22"/>
      <c r="S210" s="22"/>
      <c r="T210" s="22"/>
    </row>
    <row r="211" spans="2:20" ht="13" x14ac:dyDescent="0.3">
      <c r="B211" s="184"/>
      <c r="C211" s="184"/>
      <c r="D211" s="22"/>
      <c r="E211" s="2"/>
      <c r="F211" s="2"/>
      <c r="G211" s="22"/>
      <c r="H211" s="22"/>
      <c r="I211" s="178"/>
      <c r="J211" s="208" t="str">
        <f>""</f>
        <v/>
      </c>
      <c r="K211" s="11"/>
      <c r="L211" s="11"/>
      <c r="M211" s="11"/>
      <c r="N211" s="11"/>
      <c r="O211" s="11"/>
      <c r="P211" s="11"/>
      <c r="Q211" s="179"/>
      <c r="R211" s="22"/>
      <c r="S211" s="22"/>
      <c r="T211" s="22"/>
    </row>
    <row r="212" spans="2:20" ht="13.5" thickBot="1" x14ac:dyDescent="0.35">
      <c r="B212" s="184"/>
      <c r="C212" s="184"/>
      <c r="D212" s="22"/>
      <c r="E212" s="2"/>
      <c r="F212" s="2"/>
      <c r="G212" s="22"/>
      <c r="H212" s="22"/>
      <c r="I212" s="178"/>
      <c r="J212" s="208" t="str">
        <f>""</f>
        <v/>
      </c>
      <c r="K212" s="11"/>
      <c r="L212" s="11"/>
      <c r="M212" s="11"/>
      <c r="N212" s="11"/>
      <c r="O212" s="11"/>
      <c r="P212" s="11"/>
      <c r="Q212" s="179"/>
      <c r="R212" s="22"/>
      <c r="S212" s="22"/>
      <c r="T212" s="22"/>
    </row>
    <row r="213" spans="2:20" ht="13.5" thickTop="1" x14ac:dyDescent="0.3">
      <c r="B213" s="184"/>
      <c r="C213" s="184"/>
      <c r="D213" s="22"/>
      <c r="E213" s="2"/>
      <c r="F213" s="2"/>
      <c r="G213" s="22"/>
      <c r="H213" s="22"/>
      <c r="I213" s="22"/>
      <c r="J213" s="50" t="s">
        <v>313</v>
      </c>
      <c r="K213" s="50"/>
      <c r="L213" s="50"/>
      <c r="M213" s="50"/>
      <c r="N213" s="50"/>
      <c r="O213" s="50"/>
      <c r="P213" s="50"/>
      <c r="Q213" s="22"/>
      <c r="R213" s="22"/>
      <c r="S213" s="22"/>
      <c r="T213" s="22"/>
    </row>
    <row r="214" spans="2:20" ht="13" x14ac:dyDescent="0.3">
      <c r="B214" s="184"/>
      <c r="C214" s="184"/>
      <c r="D214" s="22"/>
      <c r="E214" s="2"/>
      <c r="F214" s="2"/>
      <c r="G214" s="22"/>
      <c r="H214" s="22"/>
      <c r="I214" s="253"/>
      <c r="J214" s="253"/>
      <c r="K214" s="22"/>
      <c r="L214" s="253"/>
      <c r="M214" s="253"/>
      <c r="N214" s="22"/>
      <c r="O214" s="22"/>
      <c r="P214" s="22"/>
      <c r="Q214" s="22"/>
      <c r="R214" s="22"/>
      <c r="S214" s="22"/>
      <c r="T214" s="22"/>
    </row>
  </sheetData>
  <sheetProtection algorithmName="SHA-512" hashValue="qUCJ/ZOq554VmSx2/ho/6t4Acgfi3Uw/hBXckn2ektgyXCwJ8GnioACxqarwwhgT4EMJ/1rJp9gBlqm5/y1Vdg==" saltValue="ujRtbelq2trgyr/4rKXhQw==" spinCount="100000" sheet="1" objects="1" scenarios="1"/>
  <phoneticPr fontId="0" type="noConversion"/>
  <pageMargins left="1.6559999999999999" right="0.41599999999999998" top="2.073" bottom="2.073" header="0.5" footer="0.5"/>
  <pageSetup paperSize="9" orientation="portrait" r:id="rId1"/>
  <headerFooter alignWithMargins="0"/>
  <ignoredErrors>
    <ignoredError sqref="I117 I112 G89" formula="1"/>
    <ignoredError sqref="E129:I130 I57 H108:H118 K129:Q130 I31 G107:G118 E30:F30 D29:R29 H30:R3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H31"/>
  <sheetViews>
    <sheetView workbookViewId="0"/>
  </sheetViews>
  <sheetFormatPr defaultRowHeight="12.5" x14ac:dyDescent="0.25"/>
  <cols>
    <col min="1" max="1" width="1.6328125" customWidth="1"/>
    <col min="2" max="2" width="120.6328125" customWidth="1"/>
  </cols>
  <sheetData>
    <row r="1" spans="2:8" ht="13" x14ac:dyDescent="0.3">
      <c r="B1" s="34" t="s">
        <v>457</v>
      </c>
      <c r="C1" s="22"/>
      <c r="D1" s="22"/>
      <c r="E1" s="22"/>
      <c r="F1" s="22"/>
      <c r="G1" s="22"/>
      <c r="H1" s="22"/>
    </row>
    <row r="2" spans="2:8" x14ac:dyDescent="0.25">
      <c r="B2" s="209"/>
      <c r="C2" s="22"/>
      <c r="D2" s="22"/>
      <c r="E2" s="22"/>
      <c r="F2" s="22"/>
      <c r="G2" s="22"/>
      <c r="H2" s="22"/>
    </row>
    <row r="3" spans="2:8" ht="13" x14ac:dyDescent="0.3">
      <c r="B3" s="210"/>
      <c r="C3" s="22"/>
      <c r="D3" s="22"/>
      <c r="E3" s="22"/>
      <c r="F3" s="22"/>
      <c r="G3" s="72" t="s">
        <v>226</v>
      </c>
      <c r="H3" s="22"/>
    </row>
    <row r="4" spans="2:8" x14ac:dyDescent="0.25">
      <c r="B4" s="209"/>
      <c r="C4" s="22"/>
      <c r="D4" s="22"/>
      <c r="E4" s="22"/>
      <c r="F4" s="22"/>
      <c r="G4" s="22"/>
      <c r="H4" s="22"/>
    </row>
    <row r="5" spans="2:8" x14ac:dyDescent="0.25">
      <c r="B5" s="209"/>
      <c r="C5" s="22"/>
      <c r="D5" s="22"/>
      <c r="E5" s="22"/>
      <c r="F5" s="22"/>
      <c r="G5" s="22"/>
      <c r="H5" s="22"/>
    </row>
    <row r="6" spans="2:8" x14ac:dyDescent="0.25">
      <c r="B6" s="209"/>
      <c r="C6" s="22"/>
      <c r="D6" s="22"/>
      <c r="E6" s="22"/>
      <c r="F6" s="22"/>
      <c r="G6" s="22"/>
      <c r="H6" s="22"/>
    </row>
    <row r="7" spans="2:8" x14ac:dyDescent="0.25">
      <c r="B7" s="209"/>
      <c r="C7" s="22"/>
      <c r="D7" s="22"/>
      <c r="E7" s="22"/>
      <c r="F7" s="22"/>
      <c r="G7" s="22"/>
      <c r="H7" s="22"/>
    </row>
    <row r="8" spans="2:8" x14ac:dyDescent="0.25">
      <c r="B8" s="209"/>
      <c r="C8" s="22"/>
      <c r="D8" s="22"/>
      <c r="E8" s="22"/>
      <c r="F8" s="22"/>
      <c r="G8" s="22"/>
      <c r="H8" s="22"/>
    </row>
    <row r="9" spans="2:8" x14ac:dyDescent="0.25">
      <c r="B9" s="209"/>
      <c r="C9" s="22"/>
      <c r="D9" s="22"/>
      <c r="E9" s="22"/>
      <c r="F9" s="22"/>
      <c r="G9" s="22"/>
      <c r="H9" s="22"/>
    </row>
    <row r="10" spans="2:8" x14ac:dyDescent="0.25">
      <c r="B10" s="209"/>
      <c r="C10" s="22"/>
      <c r="D10" s="22"/>
      <c r="E10" s="22"/>
      <c r="F10" s="22"/>
      <c r="G10" s="22"/>
      <c r="H10" s="22"/>
    </row>
    <row r="11" spans="2:8" x14ac:dyDescent="0.25">
      <c r="B11" s="209"/>
      <c r="C11" s="22"/>
      <c r="D11" s="22"/>
      <c r="E11" s="22"/>
      <c r="F11" s="22"/>
      <c r="G11" s="22"/>
      <c r="H11" s="22"/>
    </row>
    <row r="12" spans="2:8" x14ac:dyDescent="0.25">
      <c r="B12" s="209"/>
      <c r="C12" s="22"/>
      <c r="D12" s="22"/>
      <c r="E12" s="22"/>
      <c r="F12" s="22"/>
      <c r="G12" s="22"/>
      <c r="H12" s="22"/>
    </row>
    <row r="13" spans="2:8" x14ac:dyDescent="0.25">
      <c r="B13" s="209"/>
      <c r="C13" s="22"/>
      <c r="D13" s="22"/>
      <c r="E13" s="22"/>
      <c r="F13" s="22"/>
      <c r="G13" s="22"/>
      <c r="H13" s="22"/>
    </row>
    <row r="14" spans="2:8" x14ac:dyDescent="0.25">
      <c r="B14" s="209"/>
      <c r="C14" s="22"/>
      <c r="D14" s="22"/>
      <c r="E14" s="22"/>
      <c r="F14" s="22"/>
      <c r="G14" s="22"/>
      <c r="H14" s="22"/>
    </row>
    <row r="15" spans="2:8" x14ac:dyDescent="0.25">
      <c r="B15" s="209"/>
      <c r="C15" s="22"/>
      <c r="D15" s="22"/>
      <c r="E15" s="22"/>
      <c r="F15" s="22"/>
      <c r="G15" s="22"/>
      <c r="H15" s="22"/>
    </row>
    <row r="16" spans="2:8" x14ac:dyDescent="0.25">
      <c r="B16" s="209"/>
      <c r="C16" s="22"/>
      <c r="D16" s="22"/>
      <c r="E16" s="22"/>
      <c r="F16" s="22"/>
      <c r="G16" s="22"/>
      <c r="H16" s="22"/>
    </row>
    <row r="17" spans="2:8" x14ac:dyDescent="0.25">
      <c r="B17" s="209"/>
      <c r="C17" s="22"/>
      <c r="D17" s="22"/>
      <c r="E17" s="22"/>
      <c r="F17" s="22"/>
      <c r="G17" s="22"/>
      <c r="H17" s="22"/>
    </row>
    <row r="18" spans="2:8" x14ac:dyDescent="0.25">
      <c r="B18" s="209"/>
      <c r="C18" s="22"/>
      <c r="D18" s="22"/>
      <c r="E18" s="22"/>
      <c r="F18" s="22"/>
      <c r="G18" s="22"/>
      <c r="H18" s="22"/>
    </row>
    <row r="19" spans="2:8" x14ac:dyDescent="0.25">
      <c r="B19" s="209"/>
      <c r="C19" s="22"/>
      <c r="D19" s="22"/>
      <c r="E19" s="22"/>
      <c r="F19" s="22"/>
      <c r="G19" s="22"/>
      <c r="H19" s="22"/>
    </row>
    <row r="20" spans="2:8" x14ac:dyDescent="0.25">
      <c r="B20" s="209"/>
      <c r="C20" s="22"/>
      <c r="D20" s="22"/>
      <c r="E20" s="22"/>
      <c r="F20" s="22"/>
      <c r="G20" s="22"/>
      <c r="H20" s="22"/>
    </row>
    <row r="21" spans="2:8" x14ac:dyDescent="0.25">
      <c r="B21" s="209"/>
      <c r="C21" s="22"/>
      <c r="D21" s="22"/>
      <c r="E21" s="22"/>
      <c r="F21" s="22"/>
      <c r="G21" s="22"/>
      <c r="H21" s="22"/>
    </row>
    <row r="22" spans="2:8" x14ac:dyDescent="0.25">
      <c r="B22" s="209"/>
      <c r="C22" s="22"/>
      <c r="D22" s="22"/>
      <c r="E22" s="22"/>
      <c r="F22" s="22"/>
      <c r="G22" s="22"/>
      <c r="H22" s="22"/>
    </row>
    <row r="23" spans="2:8" x14ac:dyDescent="0.25">
      <c r="B23" s="209"/>
      <c r="C23" s="22"/>
      <c r="D23" s="22"/>
      <c r="E23" s="22"/>
      <c r="F23" s="22"/>
      <c r="G23" s="22"/>
      <c r="H23" s="22"/>
    </row>
    <row r="24" spans="2:8" x14ac:dyDescent="0.25">
      <c r="B24" s="209"/>
      <c r="C24" s="22"/>
      <c r="D24" s="22"/>
      <c r="E24" s="22"/>
      <c r="F24" s="22"/>
      <c r="G24" s="22"/>
      <c r="H24" s="22"/>
    </row>
    <row r="25" spans="2:8" x14ac:dyDescent="0.25">
      <c r="B25" s="209"/>
      <c r="C25" s="22"/>
      <c r="D25" s="22"/>
      <c r="E25" s="22"/>
      <c r="F25" s="22"/>
      <c r="G25" s="22"/>
      <c r="H25" s="22"/>
    </row>
    <row r="26" spans="2:8" x14ac:dyDescent="0.25">
      <c r="B26" s="209"/>
      <c r="C26" s="22"/>
      <c r="D26" s="22"/>
      <c r="E26" s="22"/>
      <c r="F26" s="22"/>
      <c r="G26" s="22"/>
      <c r="H26" s="22"/>
    </row>
    <row r="27" spans="2:8" x14ac:dyDescent="0.25">
      <c r="B27" s="209"/>
      <c r="C27" s="22"/>
      <c r="D27" s="22"/>
      <c r="E27" s="22"/>
      <c r="F27" s="22"/>
      <c r="G27" s="22"/>
      <c r="H27" s="22"/>
    </row>
    <row r="28" spans="2:8" x14ac:dyDescent="0.25">
      <c r="B28" s="209"/>
      <c r="C28" s="22"/>
      <c r="D28" s="22"/>
      <c r="E28" s="22"/>
      <c r="F28" s="22"/>
      <c r="G28" s="22"/>
      <c r="H28" s="22"/>
    </row>
    <row r="29" spans="2:8" x14ac:dyDescent="0.25">
      <c r="B29" s="209"/>
      <c r="C29" s="22"/>
      <c r="D29" s="22"/>
      <c r="E29" s="22"/>
      <c r="F29" s="22"/>
      <c r="G29" s="22"/>
      <c r="H29" s="22"/>
    </row>
    <row r="30" spans="2:8" x14ac:dyDescent="0.25">
      <c r="B30" s="209"/>
      <c r="C30" s="22"/>
      <c r="D30" s="22"/>
      <c r="E30" s="22"/>
      <c r="F30" s="22"/>
      <c r="G30" s="22"/>
      <c r="H30" s="22"/>
    </row>
    <row r="31" spans="2:8" x14ac:dyDescent="0.25">
      <c r="B31" s="209"/>
      <c r="C31" s="22"/>
      <c r="D31" s="22"/>
      <c r="E31" s="22"/>
      <c r="F31" s="22"/>
      <c r="G31" s="22"/>
      <c r="H31" s="22"/>
    </row>
  </sheetData>
  <sheetProtection password="8B03" sheet="1" objects="1" scenarios="1"/>
  <phoneticPr fontId="24"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3"/>
  <sheetViews>
    <sheetView workbookViewId="0"/>
  </sheetViews>
  <sheetFormatPr defaultRowHeight="12.5" x14ac:dyDescent="0.25"/>
  <cols>
    <col min="1" max="1" width="32.453125" bestFit="1" customWidth="1"/>
    <col min="2" max="2" width="9.453125" customWidth="1"/>
  </cols>
  <sheetData>
    <row r="1" spans="1:3" ht="13" x14ac:dyDescent="0.3">
      <c r="A1" s="20" t="s">
        <v>342</v>
      </c>
      <c r="B1" s="22"/>
      <c r="C1" s="22"/>
    </row>
    <row r="2" spans="1:3" x14ac:dyDescent="0.25">
      <c r="A2" s="21" t="s">
        <v>343</v>
      </c>
      <c r="B2" s="24">
        <v>100</v>
      </c>
      <c r="C2" s="22"/>
    </row>
    <row r="3" spans="1:3" x14ac:dyDescent="0.25">
      <c r="A3" s="21" t="s">
        <v>344</v>
      </c>
      <c r="B3" s="24">
        <v>0</v>
      </c>
      <c r="C3" s="22"/>
    </row>
    <row r="4" spans="1:3" x14ac:dyDescent="0.25">
      <c r="A4" s="21" t="s">
        <v>345</v>
      </c>
      <c r="B4" s="24">
        <f>B3-B6</f>
        <v>0</v>
      </c>
      <c r="C4" s="22" t="s">
        <v>346</v>
      </c>
    </row>
    <row r="5" spans="1:3" x14ac:dyDescent="0.25">
      <c r="A5" s="21"/>
      <c r="B5" s="24"/>
      <c r="C5" s="22"/>
    </row>
    <row r="6" spans="1:3" x14ac:dyDescent="0.25">
      <c r="A6" s="21" t="s">
        <v>347</v>
      </c>
      <c r="B6" s="24">
        <v>0</v>
      </c>
      <c r="C6" s="22"/>
    </row>
    <row r="7" spans="1:3" x14ac:dyDescent="0.25">
      <c r="A7" s="21" t="s">
        <v>340</v>
      </c>
      <c r="B7" s="24">
        <v>0</v>
      </c>
      <c r="C7" s="22"/>
    </row>
    <row r="8" spans="1:3" x14ac:dyDescent="0.25">
      <c r="A8" s="21"/>
      <c r="B8" s="24"/>
      <c r="C8" s="22"/>
    </row>
    <row r="9" spans="1:3" x14ac:dyDescent="0.25">
      <c r="A9" s="21" t="s">
        <v>348</v>
      </c>
      <c r="B9" s="23">
        <f>IF(B3=0,0,B4/B3)</f>
        <v>0</v>
      </c>
      <c r="C9" s="22" t="s">
        <v>346</v>
      </c>
    </row>
    <row r="10" spans="1:3" x14ac:dyDescent="0.25">
      <c r="A10" s="21" t="s">
        <v>349</v>
      </c>
      <c r="B10" s="23">
        <f>IF(B2=0,0,B4/B2)</f>
        <v>0</v>
      </c>
      <c r="C10" s="22" t="s">
        <v>346</v>
      </c>
    </row>
    <row r="11" spans="1:3" x14ac:dyDescent="0.25">
      <c r="A11" s="21"/>
      <c r="B11" s="23"/>
      <c r="C11" s="22"/>
    </row>
    <row r="12" spans="1:3" x14ac:dyDescent="0.25">
      <c r="A12" s="21" t="s">
        <v>350</v>
      </c>
      <c r="B12" s="23">
        <f>IF(B6=0,0,B7/B6)</f>
        <v>0</v>
      </c>
      <c r="C12" s="22" t="s">
        <v>346</v>
      </c>
    </row>
    <row r="13" spans="1:3" x14ac:dyDescent="0.25">
      <c r="A13" s="21" t="s">
        <v>351</v>
      </c>
      <c r="B13" s="23">
        <f>IF(B3=0,0,B7/B3)</f>
        <v>0</v>
      </c>
      <c r="C13" s="22" t="s">
        <v>346</v>
      </c>
    </row>
  </sheetData>
  <sheetProtection password="8B03" sheet="1" objects="1" scenarios="1"/>
  <phoneticPr fontId="24"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O42"/>
  <sheetViews>
    <sheetView showGridLines="0" workbookViewId="0">
      <selection activeCell="D22" sqref="D22:L22"/>
    </sheetView>
  </sheetViews>
  <sheetFormatPr defaultRowHeight="12.5" x14ac:dyDescent="0.25"/>
  <cols>
    <col min="1" max="1" width="1.6328125" customWidth="1"/>
    <col min="2" max="2" width="32.08984375" customWidth="1"/>
    <col min="3" max="15" width="8.6328125" customWidth="1"/>
  </cols>
  <sheetData>
    <row r="1" spans="2:15" ht="13" x14ac:dyDescent="0.3">
      <c r="B1" s="278" t="s">
        <v>472</v>
      </c>
      <c r="C1" s="22"/>
    </row>
    <row r="2" spans="2:15" x14ac:dyDescent="0.25">
      <c r="B2" s="289" t="s">
        <v>329</v>
      </c>
      <c r="C2" s="290">
        <v>1</v>
      </c>
      <c r="D2" s="290">
        <v>2</v>
      </c>
      <c r="E2" s="290">
        <v>3</v>
      </c>
      <c r="F2" s="290">
        <v>4</v>
      </c>
      <c r="G2" s="290">
        <v>5</v>
      </c>
      <c r="H2" s="290">
        <v>6</v>
      </c>
      <c r="I2" s="290">
        <v>7</v>
      </c>
      <c r="J2" s="290">
        <v>8</v>
      </c>
      <c r="K2" s="290">
        <v>9</v>
      </c>
      <c r="L2" s="290">
        <v>10</v>
      </c>
      <c r="M2" s="290">
        <v>11</v>
      </c>
      <c r="N2" s="290">
        <v>12</v>
      </c>
      <c r="O2" s="290">
        <v>13</v>
      </c>
    </row>
    <row r="3" spans="2:15" ht="14.5" x14ac:dyDescent="0.35">
      <c r="B3" s="288" t="s">
        <v>474</v>
      </c>
      <c r="C3" s="22">
        <v>13</v>
      </c>
    </row>
    <row r="4" spans="2:15" x14ac:dyDescent="0.25">
      <c r="B4" s="291" t="s">
        <v>331</v>
      </c>
      <c r="C4" s="292">
        <v>226.69829754428696</v>
      </c>
      <c r="D4" s="292">
        <v>221.03084010567977</v>
      </c>
      <c r="E4" s="292">
        <v>103.29292491994136</v>
      </c>
      <c r="F4" s="292">
        <v>95.171518698110972</v>
      </c>
      <c r="G4" s="292">
        <v>90.008463808738455</v>
      </c>
      <c r="H4" s="292">
        <v>85.125504647114397</v>
      </c>
      <c r="I4" s="292">
        <v>80.507446020008445</v>
      </c>
      <c r="J4" s="292">
        <v>76.139917073422978</v>
      </c>
      <c r="K4" s="292">
        <v>71.638144476456844</v>
      </c>
      <c r="L4" s="292">
        <v>67.40253918428634</v>
      </c>
      <c r="M4" s="292">
        <v>63.08877667649201</v>
      </c>
      <c r="N4" s="292">
        <v>0</v>
      </c>
      <c r="O4" s="292">
        <v>0</v>
      </c>
    </row>
    <row r="5" spans="2:15" x14ac:dyDescent="0.25">
      <c r="B5" s="293" t="s">
        <v>333</v>
      </c>
      <c r="C5" s="294">
        <v>0</v>
      </c>
      <c r="D5" s="294">
        <v>135.82238648250015</v>
      </c>
      <c r="E5" s="294">
        <v>103.29292491994136</v>
      </c>
      <c r="F5" s="294">
        <v>95.171518698110972</v>
      </c>
      <c r="G5" s="294">
        <v>90.008463808738455</v>
      </c>
      <c r="H5" s="294">
        <v>85.125504647114397</v>
      </c>
      <c r="I5" s="294">
        <v>80.507446020008445</v>
      </c>
      <c r="J5" s="294">
        <v>76.139917073422978</v>
      </c>
      <c r="K5" s="294">
        <v>71.638144476456844</v>
      </c>
      <c r="L5" s="294">
        <v>67.40253918428634</v>
      </c>
      <c r="M5" s="294">
        <v>0</v>
      </c>
      <c r="N5" s="294">
        <v>0</v>
      </c>
      <c r="O5" s="294">
        <v>0</v>
      </c>
    </row>
    <row r="6" spans="2:15" x14ac:dyDescent="0.25">
      <c r="B6" s="295" t="s">
        <v>330</v>
      </c>
      <c r="C6" s="296">
        <v>0</v>
      </c>
      <c r="D6" s="296">
        <v>0.78</v>
      </c>
      <c r="E6" s="296">
        <v>0.45</v>
      </c>
      <c r="F6" s="296">
        <v>0.7</v>
      </c>
      <c r="G6" s="296">
        <v>0.7</v>
      </c>
      <c r="H6" s="296">
        <v>0.7</v>
      </c>
      <c r="I6" s="296">
        <v>0.7</v>
      </c>
      <c r="J6" s="296">
        <v>0.65</v>
      </c>
      <c r="K6" s="296">
        <v>0.65</v>
      </c>
      <c r="L6" s="296">
        <v>0.6</v>
      </c>
      <c r="M6" s="296">
        <v>0.6</v>
      </c>
      <c r="N6" s="296">
        <v>0.6</v>
      </c>
      <c r="O6" s="296">
        <v>0.6</v>
      </c>
    </row>
    <row r="7" spans="2:15" x14ac:dyDescent="0.25">
      <c r="B7" s="295" t="s">
        <v>332</v>
      </c>
      <c r="C7" s="296">
        <v>0</v>
      </c>
      <c r="D7" s="296">
        <v>0.16399999999999998</v>
      </c>
      <c r="E7" s="296">
        <v>9.5000000000000001E-2</v>
      </c>
      <c r="F7" s="296">
        <v>0.11800000000000001</v>
      </c>
      <c r="G7" s="296">
        <v>0.11800000000000001</v>
      </c>
      <c r="H7" s="296">
        <v>0.11800000000000001</v>
      </c>
      <c r="I7" s="296">
        <v>0.11800000000000001</v>
      </c>
      <c r="J7" s="296">
        <v>0.13699999999999998</v>
      </c>
      <c r="K7" s="296">
        <v>0.13699999999999998</v>
      </c>
      <c r="L7" s="296">
        <v>0.13699999999999998</v>
      </c>
      <c r="M7" s="296">
        <v>0.13699999999999998</v>
      </c>
      <c r="N7" s="296">
        <v>0.13699999999999998</v>
      </c>
      <c r="O7" s="296">
        <v>0.13699999999999998</v>
      </c>
    </row>
    <row r="8" spans="2:15" x14ac:dyDescent="0.25">
      <c r="B8" s="295" t="s">
        <v>339</v>
      </c>
      <c r="C8" s="296">
        <v>0</v>
      </c>
      <c r="D8" s="296">
        <v>1</v>
      </c>
      <c r="E8" s="296">
        <v>0.1</v>
      </c>
      <c r="F8" s="296">
        <v>0.1</v>
      </c>
      <c r="G8" s="296">
        <v>0.1</v>
      </c>
      <c r="H8" s="296">
        <v>0.1</v>
      </c>
      <c r="I8" s="296">
        <v>0.1</v>
      </c>
      <c r="J8" s="296">
        <v>0.1</v>
      </c>
      <c r="K8" s="296">
        <v>0.1</v>
      </c>
      <c r="L8" s="296">
        <v>0.1</v>
      </c>
      <c r="M8" s="296">
        <v>0.1</v>
      </c>
      <c r="N8" s="296">
        <v>0.1</v>
      </c>
      <c r="O8" s="296">
        <v>0.1</v>
      </c>
    </row>
    <row r="9" spans="2:15" x14ac:dyDescent="0.25">
      <c r="B9" s="297" t="s">
        <v>459</v>
      </c>
      <c r="C9" s="298">
        <v>0</v>
      </c>
      <c r="D9" s="298">
        <v>0</v>
      </c>
      <c r="E9" s="298">
        <v>0</v>
      </c>
      <c r="F9" s="298">
        <v>0</v>
      </c>
      <c r="G9" s="298">
        <v>0</v>
      </c>
      <c r="H9" s="298">
        <v>0</v>
      </c>
      <c r="I9" s="298">
        <v>0</v>
      </c>
      <c r="J9" s="298">
        <v>0</v>
      </c>
      <c r="K9" s="298">
        <v>0</v>
      </c>
      <c r="L9" s="298">
        <v>0</v>
      </c>
      <c r="M9" s="298">
        <v>0</v>
      </c>
      <c r="N9" s="298">
        <v>0</v>
      </c>
      <c r="O9" s="298">
        <v>0</v>
      </c>
    </row>
    <row r="10" spans="2:15" x14ac:dyDescent="0.25">
      <c r="B10" s="295" t="s">
        <v>341</v>
      </c>
      <c r="C10" s="296">
        <v>0</v>
      </c>
      <c r="D10" s="296">
        <v>0</v>
      </c>
      <c r="E10" s="296">
        <v>0</v>
      </c>
      <c r="F10" s="296">
        <v>0</v>
      </c>
      <c r="G10" s="296">
        <v>0</v>
      </c>
      <c r="H10" s="296">
        <v>0</v>
      </c>
      <c r="I10" s="296">
        <v>0</v>
      </c>
      <c r="J10" s="296">
        <v>0</v>
      </c>
      <c r="K10" s="296">
        <v>0</v>
      </c>
      <c r="L10" s="296">
        <v>0</v>
      </c>
      <c r="M10" s="296">
        <v>0</v>
      </c>
      <c r="N10" s="296">
        <v>0</v>
      </c>
      <c r="O10" s="296">
        <v>0</v>
      </c>
    </row>
    <row r="11" spans="2:15" x14ac:dyDescent="0.25">
      <c r="B11" s="295"/>
      <c r="C11" s="299"/>
      <c r="D11" s="299"/>
      <c r="E11" s="299"/>
      <c r="F11" s="299"/>
      <c r="G11" s="299"/>
      <c r="H11" s="299"/>
      <c r="I11" s="299"/>
      <c r="J11" s="299"/>
      <c r="K11" s="299"/>
      <c r="L11" s="299"/>
      <c r="M11" s="299"/>
      <c r="N11" s="299"/>
      <c r="O11" s="299"/>
    </row>
    <row r="12" spans="2:15" x14ac:dyDescent="0.25">
      <c r="B12" s="279" t="s">
        <v>473</v>
      </c>
      <c r="C12" s="280">
        <f t="shared" ref="C12:O12" si="0">IF(C2&lt;$C$3,C5,0)</f>
        <v>0</v>
      </c>
      <c r="D12" s="280">
        <f t="shared" si="0"/>
        <v>135.82238648250015</v>
      </c>
      <c r="E12" s="280">
        <f t="shared" si="0"/>
        <v>103.29292491994136</v>
      </c>
      <c r="F12" s="280">
        <f t="shared" si="0"/>
        <v>95.171518698110972</v>
      </c>
      <c r="G12" s="280">
        <f t="shared" si="0"/>
        <v>90.008463808738455</v>
      </c>
      <c r="H12" s="280">
        <f t="shared" si="0"/>
        <v>85.125504647114397</v>
      </c>
      <c r="I12" s="280">
        <f t="shared" si="0"/>
        <v>80.507446020008445</v>
      </c>
      <c r="J12" s="280">
        <f t="shared" si="0"/>
        <v>76.139917073422978</v>
      </c>
      <c r="K12" s="280">
        <f t="shared" si="0"/>
        <v>71.638144476456844</v>
      </c>
      <c r="L12" s="280">
        <f t="shared" si="0"/>
        <v>67.40253918428634</v>
      </c>
      <c r="M12" s="280">
        <f t="shared" si="0"/>
        <v>0</v>
      </c>
      <c r="N12" s="280">
        <f t="shared" si="0"/>
        <v>0</v>
      </c>
      <c r="O12" s="280">
        <f t="shared" si="0"/>
        <v>0</v>
      </c>
    </row>
    <row r="13" spans="2:15" x14ac:dyDescent="0.25">
      <c r="B13" s="279" t="s">
        <v>424</v>
      </c>
      <c r="C13" s="280">
        <f t="shared" ref="C13:O13" si="1">C12*C6</f>
        <v>0</v>
      </c>
      <c r="D13" s="280">
        <f t="shared" si="1"/>
        <v>105.94146145635013</v>
      </c>
      <c r="E13" s="280">
        <f t="shared" si="1"/>
        <v>46.481816213973609</v>
      </c>
      <c r="F13" s="280">
        <f t="shared" si="1"/>
        <v>66.620063088677682</v>
      </c>
      <c r="G13" s="280">
        <f t="shared" si="1"/>
        <v>63.005924666116911</v>
      </c>
      <c r="H13" s="280">
        <f t="shared" si="1"/>
        <v>59.587853252980075</v>
      </c>
      <c r="I13" s="280">
        <f t="shared" si="1"/>
        <v>56.35521221400591</v>
      </c>
      <c r="J13" s="280">
        <f t="shared" si="1"/>
        <v>49.490946097724937</v>
      </c>
      <c r="K13" s="280">
        <f t="shared" si="1"/>
        <v>46.564793909696952</v>
      </c>
      <c r="L13" s="280">
        <f t="shared" si="1"/>
        <v>40.441523510571805</v>
      </c>
      <c r="M13" s="280">
        <f t="shared" si="1"/>
        <v>0</v>
      </c>
      <c r="N13" s="280">
        <f t="shared" si="1"/>
        <v>0</v>
      </c>
      <c r="O13" s="280">
        <f t="shared" si="1"/>
        <v>0</v>
      </c>
    </row>
    <row r="14" spans="2:15" x14ac:dyDescent="0.25">
      <c r="B14" s="279" t="s">
        <v>425</v>
      </c>
      <c r="C14" s="280">
        <f t="shared" ref="C14:O14" si="2">C12-C13</f>
        <v>0</v>
      </c>
      <c r="D14" s="280">
        <f t="shared" si="2"/>
        <v>29.880925026150024</v>
      </c>
      <c r="E14" s="280">
        <f t="shared" si="2"/>
        <v>56.811108705967747</v>
      </c>
      <c r="F14" s="280">
        <f t="shared" si="2"/>
        <v>28.55145560943329</v>
      </c>
      <c r="G14" s="280">
        <f t="shared" si="2"/>
        <v>27.002539142621544</v>
      </c>
      <c r="H14" s="280">
        <f t="shared" si="2"/>
        <v>25.537651394134322</v>
      </c>
      <c r="I14" s="280">
        <f t="shared" si="2"/>
        <v>24.152233806002535</v>
      </c>
      <c r="J14" s="280">
        <f t="shared" si="2"/>
        <v>26.648970975698042</v>
      </c>
      <c r="K14" s="280">
        <f t="shared" si="2"/>
        <v>25.073350566759892</v>
      </c>
      <c r="L14" s="280">
        <f t="shared" si="2"/>
        <v>26.961015673714535</v>
      </c>
      <c r="M14" s="280">
        <f t="shared" si="2"/>
        <v>0</v>
      </c>
      <c r="N14" s="280">
        <f t="shared" si="2"/>
        <v>0</v>
      </c>
      <c r="O14" s="280">
        <f t="shared" si="2"/>
        <v>0</v>
      </c>
    </row>
    <row r="15" spans="2:15" x14ac:dyDescent="0.25">
      <c r="B15" s="279" t="s">
        <v>426</v>
      </c>
      <c r="C15" s="280">
        <f t="shared" ref="C15:O15" si="3">C13*C7</f>
        <v>0</v>
      </c>
      <c r="D15" s="280">
        <f t="shared" si="3"/>
        <v>17.374399678841417</v>
      </c>
      <c r="E15" s="280">
        <f t="shared" si="3"/>
        <v>4.4157725403274926</v>
      </c>
      <c r="F15" s="280">
        <f t="shared" si="3"/>
        <v>7.861167444463967</v>
      </c>
      <c r="G15" s="280">
        <f t="shared" si="3"/>
        <v>7.4346991106017963</v>
      </c>
      <c r="H15" s="280">
        <f t="shared" si="3"/>
        <v>7.0313666838516493</v>
      </c>
      <c r="I15" s="280">
        <f t="shared" si="3"/>
        <v>6.6499150412526982</v>
      </c>
      <c r="J15" s="280">
        <f t="shared" si="3"/>
        <v>6.7802596153883155</v>
      </c>
      <c r="K15" s="280">
        <f t="shared" si="3"/>
        <v>6.3793767656284821</v>
      </c>
      <c r="L15" s="280">
        <f t="shared" si="3"/>
        <v>5.5404887209483364</v>
      </c>
      <c r="M15" s="280">
        <f t="shared" si="3"/>
        <v>0</v>
      </c>
      <c r="N15" s="280">
        <f t="shared" si="3"/>
        <v>0</v>
      </c>
      <c r="O15" s="280">
        <f t="shared" si="3"/>
        <v>0</v>
      </c>
    </row>
    <row r="16" spans="2:15" x14ac:dyDescent="0.25">
      <c r="B16" s="279" t="s">
        <v>431</v>
      </c>
      <c r="C16" s="280">
        <f t="shared" ref="C16:O16" si="4">C13-C15</f>
        <v>0</v>
      </c>
      <c r="D16" s="280">
        <f t="shared" si="4"/>
        <v>88.567061777508712</v>
      </c>
      <c r="E16" s="280">
        <f t="shared" si="4"/>
        <v>42.066043673646114</v>
      </c>
      <c r="F16" s="280">
        <f t="shared" si="4"/>
        <v>58.758895644213716</v>
      </c>
      <c r="G16" s="280">
        <f t="shared" si="4"/>
        <v>55.571225555515113</v>
      </c>
      <c r="H16" s="280">
        <f t="shared" si="4"/>
        <v>52.556486569128424</v>
      </c>
      <c r="I16" s="280">
        <f t="shared" si="4"/>
        <v>49.705297172753212</v>
      </c>
      <c r="J16" s="280">
        <f t="shared" si="4"/>
        <v>42.710686482336619</v>
      </c>
      <c r="K16" s="280">
        <f t="shared" si="4"/>
        <v>40.185417144068467</v>
      </c>
      <c r="L16" s="280">
        <f t="shared" si="4"/>
        <v>34.901034789623466</v>
      </c>
      <c r="M16" s="280">
        <f t="shared" si="4"/>
        <v>0</v>
      </c>
      <c r="N16" s="280">
        <f t="shared" si="4"/>
        <v>0</v>
      </c>
      <c r="O16" s="280">
        <f t="shared" si="4"/>
        <v>0</v>
      </c>
    </row>
    <row r="17" spans="2:15" x14ac:dyDescent="0.25">
      <c r="B17" s="279" t="s">
        <v>427</v>
      </c>
      <c r="C17" s="280">
        <f t="shared" ref="C17:O19" si="5">C14*C8</f>
        <v>0</v>
      </c>
      <c r="D17" s="280">
        <f t="shared" si="5"/>
        <v>29.880925026150024</v>
      </c>
      <c r="E17" s="280">
        <f t="shared" si="5"/>
        <v>5.6811108705967754</v>
      </c>
      <c r="F17" s="280">
        <f t="shared" si="5"/>
        <v>2.8551455609433294</v>
      </c>
      <c r="G17" s="280">
        <f t="shared" si="5"/>
        <v>2.7002539142621544</v>
      </c>
      <c r="H17" s="280">
        <f t="shared" si="5"/>
        <v>2.5537651394134322</v>
      </c>
      <c r="I17" s="280">
        <f t="shared" si="5"/>
        <v>2.4152233806002537</v>
      </c>
      <c r="J17" s="280">
        <f t="shared" si="5"/>
        <v>2.6648970975698045</v>
      </c>
      <c r="K17" s="280">
        <f t="shared" si="5"/>
        <v>2.5073350566759895</v>
      </c>
      <c r="L17" s="280">
        <f t="shared" si="5"/>
        <v>2.6961015673714535</v>
      </c>
      <c r="M17" s="280">
        <f t="shared" si="5"/>
        <v>0</v>
      </c>
      <c r="N17" s="280">
        <f t="shared" si="5"/>
        <v>0</v>
      </c>
      <c r="O17" s="280">
        <f t="shared" si="5"/>
        <v>0</v>
      </c>
    </row>
    <row r="18" spans="2:15" x14ac:dyDescent="0.25">
      <c r="B18" s="279" t="s">
        <v>428</v>
      </c>
      <c r="C18" s="280">
        <f t="shared" si="5"/>
        <v>0</v>
      </c>
      <c r="D18" s="280">
        <f t="shared" si="5"/>
        <v>0</v>
      </c>
      <c r="E18" s="280">
        <f t="shared" si="5"/>
        <v>0</v>
      </c>
      <c r="F18" s="280">
        <f t="shared" si="5"/>
        <v>0</v>
      </c>
      <c r="G18" s="280">
        <f t="shared" si="5"/>
        <v>0</v>
      </c>
      <c r="H18" s="280">
        <f t="shared" si="5"/>
        <v>0</v>
      </c>
      <c r="I18" s="280">
        <f t="shared" si="5"/>
        <v>0</v>
      </c>
      <c r="J18" s="280">
        <f t="shared" si="5"/>
        <v>0</v>
      </c>
      <c r="K18" s="280">
        <f t="shared" si="5"/>
        <v>0</v>
      </c>
      <c r="L18" s="280">
        <f t="shared" si="5"/>
        <v>0</v>
      </c>
      <c r="M18" s="280">
        <f t="shared" si="5"/>
        <v>0</v>
      </c>
      <c r="N18" s="280">
        <f t="shared" si="5"/>
        <v>0</v>
      </c>
      <c r="O18" s="280">
        <f t="shared" si="5"/>
        <v>0</v>
      </c>
    </row>
    <row r="19" spans="2:15" x14ac:dyDescent="0.25">
      <c r="B19" s="279" t="s">
        <v>429</v>
      </c>
      <c r="C19" s="280">
        <f t="shared" si="5"/>
        <v>0</v>
      </c>
      <c r="D19" s="280">
        <f t="shared" si="5"/>
        <v>0</v>
      </c>
      <c r="E19" s="280">
        <f t="shared" si="5"/>
        <v>0</v>
      </c>
      <c r="F19" s="280">
        <f t="shared" si="5"/>
        <v>0</v>
      </c>
      <c r="G19" s="280">
        <f t="shared" si="5"/>
        <v>0</v>
      </c>
      <c r="H19" s="280">
        <f t="shared" si="5"/>
        <v>0</v>
      </c>
      <c r="I19" s="280">
        <f t="shared" si="5"/>
        <v>0</v>
      </c>
      <c r="J19" s="280">
        <f t="shared" si="5"/>
        <v>0</v>
      </c>
      <c r="K19" s="280">
        <f t="shared" si="5"/>
        <v>0</v>
      </c>
      <c r="L19" s="280">
        <f t="shared" si="5"/>
        <v>0</v>
      </c>
      <c r="M19" s="280">
        <f t="shared" si="5"/>
        <v>0</v>
      </c>
      <c r="N19" s="280">
        <f t="shared" si="5"/>
        <v>0</v>
      </c>
      <c r="O19" s="280">
        <f t="shared" si="5"/>
        <v>0</v>
      </c>
    </row>
    <row r="20" spans="2:15" x14ac:dyDescent="0.25">
      <c r="B20" s="279" t="s">
        <v>430</v>
      </c>
      <c r="C20" s="280">
        <f t="shared" ref="C20:O20" si="6">C17+C18+C19</f>
        <v>0</v>
      </c>
      <c r="D20" s="280">
        <f t="shared" si="6"/>
        <v>29.880925026150024</v>
      </c>
      <c r="E20" s="280">
        <f t="shared" si="6"/>
        <v>5.6811108705967754</v>
      </c>
      <c r="F20" s="280">
        <f t="shared" si="6"/>
        <v>2.8551455609433294</v>
      </c>
      <c r="G20" s="280">
        <f t="shared" si="6"/>
        <v>2.7002539142621544</v>
      </c>
      <c r="H20" s="280">
        <f t="shared" si="6"/>
        <v>2.5537651394134322</v>
      </c>
      <c r="I20" s="280">
        <f t="shared" si="6"/>
        <v>2.4152233806002537</v>
      </c>
      <c r="J20" s="280">
        <f t="shared" si="6"/>
        <v>2.6648970975698045</v>
      </c>
      <c r="K20" s="280">
        <f t="shared" si="6"/>
        <v>2.5073350566759895</v>
      </c>
      <c r="L20" s="280">
        <f t="shared" si="6"/>
        <v>2.6961015673714535</v>
      </c>
      <c r="M20" s="280">
        <f t="shared" si="6"/>
        <v>0</v>
      </c>
      <c r="N20" s="280">
        <f t="shared" si="6"/>
        <v>0</v>
      </c>
      <c r="O20" s="280">
        <f t="shared" si="6"/>
        <v>0</v>
      </c>
    </row>
    <row r="21" spans="2:15" x14ac:dyDescent="0.25">
      <c r="B21" s="279" t="s">
        <v>336</v>
      </c>
      <c r="C21" s="280">
        <f t="shared" ref="C21:O21" si="7">C12-C20</f>
        <v>0</v>
      </c>
      <c r="D21" s="280">
        <f t="shared" si="7"/>
        <v>105.94146145635013</v>
      </c>
      <c r="E21" s="280">
        <f t="shared" si="7"/>
        <v>97.611814049344588</v>
      </c>
      <c r="F21" s="280">
        <f t="shared" si="7"/>
        <v>92.316373137167645</v>
      </c>
      <c r="G21" s="280">
        <f t="shared" si="7"/>
        <v>87.308209894476306</v>
      </c>
      <c r="H21" s="280">
        <f t="shared" si="7"/>
        <v>82.571739507700968</v>
      </c>
      <c r="I21" s="280">
        <f t="shared" si="7"/>
        <v>78.092222639408192</v>
      </c>
      <c r="J21" s="280">
        <f t="shared" si="7"/>
        <v>73.475019975853172</v>
      </c>
      <c r="K21" s="280">
        <f t="shared" si="7"/>
        <v>69.13080941978086</v>
      </c>
      <c r="L21" s="280">
        <f t="shared" si="7"/>
        <v>64.706437616914883</v>
      </c>
      <c r="M21" s="280">
        <f t="shared" si="7"/>
        <v>0</v>
      </c>
      <c r="N21" s="280">
        <f t="shared" si="7"/>
        <v>0</v>
      </c>
      <c r="O21" s="280">
        <f t="shared" si="7"/>
        <v>0</v>
      </c>
    </row>
    <row r="22" spans="2:15" x14ac:dyDescent="0.25">
      <c r="B22" s="279" t="s">
        <v>340</v>
      </c>
      <c r="C22" s="280">
        <f t="shared" ref="C22:O22" si="8">C13-C15</f>
        <v>0</v>
      </c>
      <c r="D22" s="280">
        <f t="shared" si="8"/>
        <v>88.567061777508712</v>
      </c>
      <c r="E22" s="280">
        <f t="shared" si="8"/>
        <v>42.066043673646114</v>
      </c>
      <c r="F22" s="280">
        <f t="shared" si="8"/>
        <v>58.758895644213716</v>
      </c>
      <c r="G22" s="280">
        <f t="shared" si="8"/>
        <v>55.571225555515113</v>
      </c>
      <c r="H22" s="280">
        <f t="shared" si="8"/>
        <v>52.556486569128424</v>
      </c>
      <c r="I22" s="280">
        <f t="shared" si="8"/>
        <v>49.705297172753212</v>
      </c>
      <c r="J22" s="280">
        <f t="shared" si="8"/>
        <v>42.710686482336619</v>
      </c>
      <c r="K22" s="280">
        <f t="shared" si="8"/>
        <v>40.185417144068467</v>
      </c>
      <c r="L22" s="280">
        <f t="shared" si="8"/>
        <v>34.901034789623466</v>
      </c>
      <c r="M22" s="280">
        <f t="shared" si="8"/>
        <v>0</v>
      </c>
      <c r="N22" s="280">
        <f t="shared" si="8"/>
        <v>0</v>
      </c>
      <c r="O22" s="280">
        <f t="shared" si="8"/>
        <v>0</v>
      </c>
    </row>
    <row r="23" spans="2:15" x14ac:dyDescent="0.25">
      <c r="B23" s="279" t="s">
        <v>334</v>
      </c>
      <c r="C23" s="281">
        <f t="shared" ref="C23:O23" si="9">IF(C12=0,0,C20/C12)</f>
        <v>0</v>
      </c>
      <c r="D23" s="281">
        <f t="shared" si="9"/>
        <v>0.21999999999999995</v>
      </c>
      <c r="E23" s="281">
        <f t="shared" si="9"/>
        <v>5.5000000000000007E-2</v>
      </c>
      <c r="F23" s="281">
        <f t="shared" si="9"/>
        <v>3.0000000000000002E-2</v>
      </c>
      <c r="G23" s="281">
        <f t="shared" si="9"/>
        <v>3.0000000000000009E-2</v>
      </c>
      <c r="H23" s="281">
        <f t="shared" si="9"/>
        <v>3.0000000000000002E-2</v>
      </c>
      <c r="I23" s="281">
        <f t="shared" si="9"/>
        <v>3.0000000000000002E-2</v>
      </c>
      <c r="J23" s="281">
        <f t="shared" si="9"/>
        <v>3.5000000000000003E-2</v>
      </c>
      <c r="K23" s="281">
        <f t="shared" si="9"/>
        <v>3.5000000000000003E-2</v>
      </c>
      <c r="L23" s="281">
        <f t="shared" si="9"/>
        <v>0.04</v>
      </c>
      <c r="M23" s="281">
        <f t="shared" si="9"/>
        <v>0</v>
      </c>
      <c r="N23" s="281">
        <f t="shared" si="9"/>
        <v>0</v>
      </c>
      <c r="O23" s="281">
        <f t="shared" si="9"/>
        <v>0</v>
      </c>
    </row>
    <row r="24" spans="2:15" x14ac:dyDescent="0.25">
      <c r="B24" s="279" t="s">
        <v>335</v>
      </c>
      <c r="C24" s="281">
        <f t="shared" ref="C24:O24" si="10">IF(C21=0,0,C22/C21)</f>
        <v>0</v>
      </c>
      <c r="D24" s="281">
        <f t="shared" si="10"/>
        <v>0.83600000000000008</v>
      </c>
      <c r="E24" s="281">
        <f t="shared" si="10"/>
        <v>0.43095238095238086</v>
      </c>
      <c r="F24" s="281">
        <f t="shared" si="10"/>
        <v>0.63649484536082479</v>
      </c>
      <c r="G24" s="281">
        <f t="shared" si="10"/>
        <v>0.63649484536082457</v>
      </c>
      <c r="H24" s="281">
        <f t="shared" si="10"/>
        <v>0.63649484536082468</v>
      </c>
      <c r="I24" s="281">
        <f t="shared" si="10"/>
        <v>0.63649484536082468</v>
      </c>
      <c r="J24" s="281">
        <f t="shared" si="10"/>
        <v>0.58129533678756473</v>
      </c>
      <c r="K24" s="281">
        <f t="shared" si="10"/>
        <v>0.58129533678756473</v>
      </c>
      <c r="L24" s="281">
        <f t="shared" si="10"/>
        <v>0.53937500000000005</v>
      </c>
      <c r="M24" s="281">
        <f t="shared" si="10"/>
        <v>0</v>
      </c>
      <c r="N24" s="281">
        <f t="shared" si="10"/>
        <v>0</v>
      </c>
      <c r="O24" s="281">
        <f t="shared" si="10"/>
        <v>0</v>
      </c>
    </row>
    <row r="25" spans="2:15" x14ac:dyDescent="0.25">
      <c r="B25" s="279"/>
      <c r="C25" s="282"/>
      <c r="D25" s="282"/>
      <c r="E25" s="282"/>
      <c r="F25" s="282"/>
      <c r="G25" s="282"/>
      <c r="H25" s="282"/>
      <c r="I25" s="282"/>
      <c r="J25" s="282"/>
      <c r="K25" s="282"/>
      <c r="L25" s="282"/>
      <c r="M25" s="282"/>
      <c r="N25" s="282"/>
      <c r="O25" s="282"/>
    </row>
    <row r="26" spans="2:15" ht="14.5" x14ac:dyDescent="0.35">
      <c r="B26" s="283" t="s">
        <v>337</v>
      </c>
      <c r="C26" s="284"/>
      <c r="D26" s="284"/>
      <c r="E26" s="284"/>
      <c r="F26" s="284"/>
      <c r="G26" s="284"/>
      <c r="H26" s="284"/>
      <c r="I26" s="284"/>
      <c r="J26" s="284"/>
      <c r="K26" s="284"/>
      <c r="L26" s="284"/>
      <c r="M26" s="284"/>
      <c r="N26" s="284"/>
      <c r="O26" s="284"/>
    </row>
    <row r="27" spans="2:15" ht="14.5" x14ac:dyDescent="0.35">
      <c r="B27" s="285" t="s">
        <v>338</v>
      </c>
      <c r="C27" s="27">
        <f>IF(C12=0,0,C22/C12)</f>
        <v>0</v>
      </c>
      <c r="D27" s="27">
        <f t="shared" ref="D27:O27" si="11">IF(D12=0,0,D22/D12)</f>
        <v>0.6520800000000001</v>
      </c>
      <c r="E27" s="27">
        <f t="shared" si="11"/>
        <v>0.40724999999999995</v>
      </c>
      <c r="F27" s="27">
        <f t="shared" si="11"/>
        <v>0.61740000000000006</v>
      </c>
      <c r="G27" s="27">
        <f t="shared" si="11"/>
        <v>0.61739999999999995</v>
      </c>
      <c r="H27" s="27">
        <f t="shared" si="11"/>
        <v>0.61739999999999995</v>
      </c>
      <c r="I27" s="27">
        <f t="shared" si="11"/>
        <v>0.61739999999999995</v>
      </c>
      <c r="J27" s="27">
        <f t="shared" si="11"/>
        <v>0.56094999999999995</v>
      </c>
      <c r="K27" s="27">
        <f t="shared" si="11"/>
        <v>0.56094999999999995</v>
      </c>
      <c r="L27" s="27">
        <f t="shared" si="11"/>
        <v>0.51780000000000004</v>
      </c>
      <c r="M27" s="27">
        <f t="shared" si="11"/>
        <v>0</v>
      </c>
      <c r="N27" s="27">
        <f t="shared" si="11"/>
        <v>0</v>
      </c>
      <c r="O27" s="27">
        <f t="shared" si="11"/>
        <v>0</v>
      </c>
    </row>
    <row r="28" spans="2:15" ht="14.5" x14ac:dyDescent="0.35">
      <c r="B28" s="285"/>
      <c r="C28" s="30"/>
      <c r="D28" s="30"/>
      <c r="E28" s="30"/>
      <c r="F28" s="30"/>
      <c r="G28" s="30"/>
      <c r="H28" s="30"/>
      <c r="I28" s="30"/>
      <c r="J28" s="30"/>
      <c r="K28" s="30"/>
      <c r="L28" s="30"/>
      <c r="M28" s="30"/>
      <c r="N28" s="30"/>
      <c r="O28" s="30"/>
    </row>
    <row r="29" spans="2:15" ht="14.5" x14ac:dyDescent="0.35">
      <c r="B29" s="286" t="s">
        <v>458</v>
      </c>
      <c r="C29" s="287"/>
      <c r="D29" s="287"/>
      <c r="E29" s="287"/>
      <c r="F29" s="287"/>
      <c r="G29" s="287"/>
      <c r="H29" s="287"/>
      <c r="I29" s="287"/>
      <c r="J29" s="287"/>
      <c r="K29" s="287"/>
      <c r="L29" s="287"/>
      <c r="M29" s="287"/>
      <c r="N29" s="287"/>
      <c r="O29" s="287"/>
    </row>
    <row r="30" spans="2:15" x14ac:dyDescent="0.25">
      <c r="B30" s="22"/>
      <c r="C30" s="22"/>
    </row>
    <row r="31" spans="2:15" x14ac:dyDescent="0.25">
      <c r="B31" s="22"/>
      <c r="C31" s="22"/>
    </row>
    <row r="32" spans="2:15" x14ac:dyDescent="0.25">
      <c r="B32" s="300" t="s">
        <v>460</v>
      </c>
      <c r="C32" s="22"/>
    </row>
    <row r="33" spans="2:15" x14ac:dyDescent="0.25">
      <c r="B33" s="22"/>
      <c r="C33" s="22"/>
      <c r="D33" s="22"/>
      <c r="E33" s="22"/>
      <c r="F33" s="22"/>
      <c r="G33" s="22"/>
      <c r="H33" s="22"/>
      <c r="I33" s="22"/>
      <c r="J33" s="22"/>
      <c r="K33" s="22"/>
      <c r="L33" s="22"/>
      <c r="M33" s="22"/>
      <c r="N33" s="22"/>
      <c r="O33" s="22"/>
    </row>
    <row r="34" spans="2:15" x14ac:dyDescent="0.25">
      <c r="B34" s="22"/>
      <c r="C34" s="22"/>
      <c r="D34" s="22"/>
      <c r="E34" s="22"/>
      <c r="F34" s="22"/>
      <c r="G34" s="22"/>
      <c r="H34" s="22"/>
      <c r="I34" s="22"/>
      <c r="J34" s="22"/>
      <c r="K34" s="22"/>
      <c r="L34" s="22"/>
      <c r="M34" s="22"/>
      <c r="N34" s="22"/>
      <c r="O34" s="22"/>
    </row>
    <row r="35" spans="2:15" x14ac:dyDescent="0.25">
      <c r="B35" s="22"/>
      <c r="C35" s="22"/>
      <c r="D35" s="22"/>
      <c r="E35" s="22"/>
      <c r="F35" s="22"/>
      <c r="G35" s="22"/>
      <c r="H35" s="22"/>
      <c r="I35" s="22"/>
      <c r="J35" s="22"/>
      <c r="K35" s="22"/>
      <c r="L35" s="22"/>
      <c r="M35" s="22"/>
      <c r="N35" s="22"/>
      <c r="O35" s="22"/>
    </row>
    <row r="36" spans="2:15" x14ac:dyDescent="0.25">
      <c r="B36" s="22"/>
      <c r="C36" s="22"/>
      <c r="D36" s="22"/>
      <c r="E36" s="22"/>
      <c r="F36" s="22"/>
      <c r="G36" s="22"/>
      <c r="H36" s="22"/>
      <c r="I36" s="22"/>
      <c r="J36" s="22"/>
      <c r="K36" s="22"/>
      <c r="L36" s="22"/>
      <c r="M36" s="22"/>
      <c r="N36" s="22"/>
      <c r="O36" s="22"/>
    </row>
    <row r="37" spans="2:15" x14ac:dyDescent="0.25">
      <c r="B37" s="22"/>
      <c r="C37" s="22"/>
      <c r="D37" s="22"/>
      <c r="E37" s="22"/>
      <c r="F37" s="22"/>
      <c r="G37" s="22"/>
      <c r="H37" s="22"/>
      <c r="I37" s="22"/>
      <c r="J37" s="22"/>
      <c r="K37" s="22"/>
      <c r="L37" s="22"/>
      <c r="M37" s="22"/>
      <c r="N37" s="22"/>
      <c r="O37" s="22"/>
    </row>
    <row r="38" spans="2:15" x14ac:dyDescent="0.25">
      <c r="B38" s="22"/>
      <c r="C38" s="22"/>
      <c r="D38" s="22"/>
      <c r="E38" s="22"/>
      <c r="F38" s="22"/>
      <c r="G38" s="22"/>
      <c r="H38" s="22"/>
      <c r="I38" s="22"/>
      <c r="J38" s="22"/>
      <c r="K38" s="22"/>
      <c r="L38" s="22"/>
      <c r="M38" s="22"/>
      <c r="N38" s="22"/>
      <c r="O38" s="22"/>
    </row>
    <row r="39" spans="2:15" x14ac:dyDescent="0.25">
      <c r="B39" s="22"/>
      <c r="C39" s="22"/>
      <c r="D39" s="22"/>
      <c r="E39" s="22"/>
      <c r="F39" s="22"/>
      <c r="G39" s="22"/>
      <c r="H39" s="22"/>
      <c r="I39" s="22"/>
      <c r="J39" s="22"/>
      <c r="K39" s="22"/>
      <c r="L39" s="22"/>
      <c r="M39" s="22"/>
      <c r="N39" s="22"/>
      <c r="O39" s="22"/>
    </row>
    <row r="40" spans="2:15" x14ac:dyDescent="0.25">
      <c r="B40" s="22"/>
      <c r="C40" s="22"/>
      <c r="D40" s="22"/>
      <c r="E40" s="22"/>
      <c r="F40" s="22"/>
      <c r="G40" s="22"/>
      <c r="H40" s="22"/>
      <c r="I40" s="22"/>
      <c r="J40" s="22"/>
      <c r="K40" s="22"/>
      <c r="L40" s="22"/>
      <c r="M40" s="22"/>
      <c r="N40" s="22"/>
      <c r="O40" s="22"/>
    </row>
    <row r="41" spans="2:15" x14ac:dyDescent="0.25">
      <c r="B41" s="22"/>
      <c r="C41" s="22"/>
      <c r="D41" s="22"/>
      <c r="E41" s="22"/>
      <c r="F41" s="22"/>
      <c r="G41" s="22"/>
      <c r="H41" s="22"/>
      <c r="I41" s="22"/>
      <c r="J41" s="22"/>
      <c r="K41" s="22"/>
      <c r="L41" s="22"/>
      <c r="M41" s="22"/>
      <c r="N41" s="22"/>
      <c r="O41" s="22"/>
    </row>
    <row r="42" spans="2:15" x14ac:dyDescent="0.25">
      <c r="B42" s="22"/>
      <c r="C42" s="22"/>
      <c r="D42" s="22"/>
      <c r="E42" s="22"/>
      <c r="F42" s="22"/>
      <c r="G42" s="22"/>
      <c r="H42" s="22"/>
      <c r="I42" s="22"/>
      <c r="J42" s="22"/>
      <c r="K42" s="22"/>
      <c r="L42" s="22"/>
      <c r="M42" s="22"/>
      <c r="N42" s="22"/>
      <c r="O42" s="22"/>
    </row>
  </sheetData>
  <sheetProtection algorithmName="SHA-512" hashValue="OcmIWZPPJk0xc9d6k3/lrcqLeBBKCkwckTuAHywuU7qvQcrWVrLaI/nM27651uzygROa2m18ZbdlSN89W8+4xA==" saltValue="tk9hZMb5Zhb+NCJncbmSRA==" spinCount="100000" sheet="1" objects="1" scenarios="1"/>
  <phoneticPr fontId="2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Growth path</vt:lpstr>
      <vt:lpstr>Supplement cost</vt:lpstr>
      <vt:lpstr>AECalc</vt:lpstr>
      <vt:lpstr>Prices</vt:lpstr>
      <vt:lpstr>Huscosts</vt:lpstr>
      <vt:lpstr>Breedcow</vt:lpstr>
      <vt:lpstr>Comments</vt:lpstr>
      <vt:lpstr>WeanCalc</vt:lpstr>
      <vt:lpstr>PregTest</vt:lpstr>
      <vt:lpstr>HOME_AECALC</vt:lpstr>
      <vt:lpstr>HOME_BREEDCOW</vt:lpstr>
      <vt:lpstr>HOME_HUSCOSTS</vt:lpstr>
      <vt:lpstr>HOME_PRICES</vt:lpstr>
      <vt:lpstr>PRICES_COMPUTED_BY_BREAKEVEN</vt:lpstr>
      <vt:lpstr>SECTION_A</vt:lpstr>
      <vt:lpstr>SECTION_B</vt:lpstr>
      <vt:lpstr>SECTION_C</vt:lpstr>
      <vt:lpstr>SECTION_D</vt:lpstr>
      <vt:lpstr>SECTION_E</vt:lpstr>
      <vt:lpstr>SECTION_F</vt:lpstr>
      <vt:lpstr>SECTION_G</vt:lpstr>
      <vt:lpstr>SECTION_H</vt:lpstr>
      <vt:lpstr>WORKSHEET_RUN_SUMMARIES</vt:lpstr>
    </vt:vector>
  </TitlesOfParts>
  <Company>Department of Primary Industries &amp; Fisheries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simpsog</dc:creator>
  <cp:lastModifiedBy>WARD Jodie</cp:lastModifiedBy>
  <cp:lastPrinted>2011-10-07T05:03:29Z</cp:lastPrinted>
  <dcterms:created xsi:type="dcterms:W3CDTF">2011-07-18T23:20:51Z</dcterms:created>
  <dcterms:modified xsi:type="dcterms:W3CDTF">2019-10-29T03:19:16Z</dcterms:modified>
</cp:coreProperties>
</file>