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udlef\Documents\DCAP2\Response and recovery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4" i="1" l="1"/>
  <c r="B115" i="1" s="1"/>
  <c r="B116" i="1" s="1"/>
  <c r="B117" i="1" s="1"/>
  <c r="H108" i="1"/>
  <c r="G108" i="1"/>
  <c r="F93" i="1"/>
  <c r="F91" i="1"/>
  <c r="F79" i="1"/>
  <c r="F78" i="1"/>
  <c r="F61" i="1"/>
  <c r="L56" i="1"/>
  <c r="K56" i="1"/>
  <c r="F56" i="1"/>
  <c r="F50" i="1"/>
  <c r="F52" i="1" s="1"/>
  <c r="F55" i="1" s="1"/>
  <c r="F48" i="1"/>
  <c r="F57" i="1" s="1"/>
  <c r="F42" i="1"/>
  <c r="F87" i="1" s="1"/>
  <c r="F39" i="1"/>
  <c r="F35" i="1"/>
  <c r="D32" i="1"/>
  <c r="F31" i="1"/>
  <c r="F30" i="1"/>
  <c r="F29" i="1"/>
  <c r="F28" i="1"/>
  <c r="F27" i="1"/>
  <c r="F26" i="1"/>
  <c r="F25" i="1"/>
  <c r="F24" i="1"/>
  <c r="F23" i="1"/>
  <c r="F32" i="1" s="1"/>
  <c r="F33" i="1" s="1"/>
  <c r="F36" i="1" s="1"/>
  <c r="F92" i="1" s="1"/>
  <c r="C12" i="1"/>
  <c r="I11" i="1"/>
  <c r="G11" i="1"/>
  <c r="G10" i="1"/>
  <c r="I10" i="1" s="1"/>
  <c r="G9" i="1"/>
  <c r="I9" i="1" s="1"/>
  <c r="G8" i="1"/>
  <c r="I8" i="1" s="1"/>
  <c r="I7" i="1"/>
  <c r="G7" i="1"/>
  <c r="G6" i="1"/>
  <c r="I6" i="1" s="1"/>
  <c r="I12" i="1" l="1"/>
  <c r="C13" i="1" s="1"/>
  <c r="C15" i="1" s="1"/>
  <c r="F73" i="1" s="1"/>
  <c r="F58" i="1"/>
  <c r="F64" i="1"/>
  <c r="F70" i="1"/>
  <c r="B113" i="1"/>
  <c r="B112" i="1" s="1"/>
  <c r="B111" i="1" s="1"/>
  <c r="F108" i="1"/>
  <c r="I108" i="1"/>
  <c r="E108" i="1" l="1"/>
  <c r="F74" i="1"/>
  <c r="F72" i="1"/>
  <c r="F71" i="1"/>
  <c r="F66" i="1"/>
  <c r="F59" i="1"/>
  <c r="F60" i="1" s="1"/>
  <c r="C114" i="1"/>
  <c r="F88" i="1"/>
  <c r="J108" i="1"/>
  <c r="F94" i="1"/>
  <c r="I114" i="1" l="1"/>
  <c r="E113" i="1"/>
  <c r="D108" i="1"/>
  <c r="J114" i="1"/>
  <c r="J113" i="1"/>
  <c r="C115" i="1"/>
  <c r="C113" i="1"/>
  <c r="F114" i="1"/>
  <c r="G113" i="1"/>
  <c r="G114" i="1"/>
  <c r="F76" i="1"/>
  <c r="H114" i="1"/>
  <c r="H113" i="1"/>
  <c r="F90" i="1"/>
  <c r="F89" i="1"/>
  <c r="E114" i="1" s="1"/>
  <c r="F95" i="1"/>
  <c r="F97" i="1" s="1"/>
  <c r="F98" i="1" s="1"/>
  <c r="H74" i="1"/>
  <c r="F113" i="1"/>
  <c r="C116" i="1" l="1"/>
  <c r="F115" i="1"/>
  <c r="E115" i="1"/>
  <c r="G115" i="1"/>
  <c r="I115" i="1"/>
  <c r="D115" i="1"/>
  <c r="D114" i="1"/>
  <c r="D113" i="1"/>
  <c r="D116" i="1"/>
  <c r="J115" i="1"/>
  <c r="H95" i="1"/>
  <c r="F99" i="1"/>
  <c r="F100" i="1"/>
  <c r="H115" i="1"/>
  <c r="C112" i="1"/>
  <c r="D112" i="1" s="1"/>
  <c r="I113" i="1"/>
  <c r="C117" i="1" l="1"/>
  <c r="J116" i="1"/>
  <c r="G116" i="1"/>
  <c r="F116" i="1"/>
  <c r="E116" i="1"/>
  <c r="H116" i="1"/>
  <c r="I116" i="1"/>
  <c r="C111" i="1"/>
  <c r="I112" i="1"/>
  <c r="E112" i="1"/>
  <c r="J112" i="1"/>
  <c r="H112" i="1"/>
  <c r="F112" i="1"/>
  <c r="G112" i="1"/>
  <c r="I111" i="1" l="1"/>
  <c r="G111" i="1"/>
  <c r="E111" i="1"/>
  <c r="H111" i="1"/>
  <c r="F111" i="1"/>
  <c r="J111" i="1"/>
  <c r="D111" i="1"/>
  <c r="F117" i="1"/>
  <c r="J117" i="1"/>
  <c r="G117" i="1"/>
  <c r="H117" i="1"/>
  <c r="I117" i="1"/>
  <c r="E117" i="1"/>
  <c r="D117" i="1"/>
</calcChain>
</file>

<file path=xl/sharedStrings.xml><?xml version="1.0" encoding="utf-8"?>
<sst xmlns="http://schemas.openxmlformats.org/spreadsheetml/2006/main" count="137" uniqueCount="115">
  <si>
    <t>Molasses M4U feeding worksheet</t>
  </si>
  <si>
    <t xml:space="preserve">This worksheet calculates the annual costs and returns for a molasses production mix feeding exercise where steers bred on the property are fed. </t>
  </si>
  <si>
    <t>Feed mix</t>
  </si>
  <si>
    <t>Molasses</t>
  </si>
  <si>
    <t>kg</t>
  </si>
  <si>
    <t>per ton</t>
  </si>
  <si>
    <t xml:space="preserve"> per kg</t>
  </si>
  <si>
    <t>Copra</t>
  </si>
  <si>
    <t>Urea</t>
  </si>
  <si>
    <t>Kynophos</t>
  </si>
  <si>
    <t>Salt</t>
  </si>
  <si>
    <t>Rumensin</t>
  </si>
  <si>
    <t>Weight of feed mix</t>
  </si>
  <si>
    <t>Cost per ton of feed mix</t>
  </si>
  <si>
    <t>Freight per ton of feed mix</t>
  </si>
  <si>
    <t>Cost per ton of feed mix with freight</t>
  </si>
  <si>
    <t>Number to be fed</t>
  </si>
  <si>
    <t>1. Depreciation and capital expense</t>
  </si>
  <si>
    <t>Item</t>
  </si>
  <si>
    <t>% Allocation</t>
  </si>
  <si>
    <t>Current</t>
  </si>
  <si>
    <t>Life</t>
  </si>
  <si>
    <t>Annual</t>
  </si>
  <si>
    <t>to enterprise</t>
  </si>
  <si>
    <t>Value</t>
  </si>
  <si>
    <t>in years</t>
  </si>
  <si>
    <t>Feed yards and water equipment</t>
  </si>
  <si>
    <t>Feeders &amp; troughs</t>
  </si>
  <si>
    <t>Silos</t>
  </si>
  <si>
    <t>Forage handling equipment</t>
  </si>
  <si>
    <t>Sheds and other structures</t>
  </si>
  <si>
    <t>Mixer</t>
  </si>
  <si>
    <t>item</t>
  </si>
  <si>
    <t>Total</t>
  </si>
  <si>
    <t xml:space="preserve"> </t>
  </si>
  <si>
    <t>Depreciation costs per head fed</t>
  </si>
  <si>
    <t>Opportunity cost of capital</t>
  </si>
  <si>
    <t>Transport Loading Density Guide</t>
  </si>
  <si>
    <t>Opportunity cost of capital per head fed</t>
  </si>
  <si>
    <t>Depreciation and capital opportunity costs per head fed</t>
  </si>
  <si>
    <t>Source for loading density: Kaus, Lapworth and Dunn "Marketing Cattle  to South-East Asia"</t>
  </si>
  <si>
    <t>Maximum for lighter cattle = 44/deck</t>
  </si>
  <si>
    <t>2. Repairs and maintenance</t>
  </si>
  <si>
    <t>Average</t>
  </si>
  <si>
    <t>Head Per</t>
  </si>
  <si>
    <t>Repairs and maintenance costs per head fed</t>
  </si>
  <si>
    <t>Liveweight</t>
  </si>
  <si>
    <t>12.2m deck</t>
  </si>
  <si>
    <t>3. Cost of labour (includes unpaid labour)</t>
  </si>
  <si>
    <t>Labour costs per head fed</t>
  </si>
  <si>
    <t>4. Feeding and stock costs</t>
  </si>
  <si>
    <t>Calculate the value of the owned stock into the feed pen</t>
  </si>
  <si>
    <t>Current weight in the paddock</t>
  </si>
  <si>
    <t>weight loss to get to sale yards</t>
  </si>
  <si>
    <t>Steer weight at saleyards</t>
  </si>
  <si>
    <t>Sale price at yards ($ /kg live)</t>
  </si>
  <si>
    <t>Gross sale price ($/head)</t>
  </si>
  <si>
    <t>Transport cost per head calculator</t>
  </si>
  <si>
    <t>Commission &amp; insurance % on sales</t>
  </si>
  <si>
    <t>Commission &amp; insurance ($/head)</t>
  </si>
  <si>
    <t>Distance (Km)</t>
  </si>
  <si>
    <t>Transaction levy, yard dues etc. ($ /head)</t>
  </si>
  <si>
    <t>$ per Km</t>
  </si>
  <si>
    <t>Transport cost ($/head)</t>
  </si>
  <si>
    <t>Rate on Truck</t>
  </si>
  <si>
    <t>Steer value on property net of selling expenses</t>
  </si>
  <si>
    <t>Paddock weight</t>
  </si>
  <si>
    <t>Per head</t>
  </si>
  <si>
    <t>Selling cost ($ per kg)</t>
  </si>
  <si>
    <t>Average value of fed animals (cents per kg into feed yard)</t>
  </si>
  <si>
    <t>Expected value into the feed yard ($/head)</t>
  </si>
  <si>
    <t>Total opening value livestock to be fed</t>
  </si>
  <si>
    <t>Average entry weight of stock (kg liveweight)</t>
  </si>
  <si>
    <t xml:space="preserve">Expected daily gain (kg/day) </t>
  </si>
  <si>
    <t>Expected average number of days on feed (days)</t>
  </si>
  <si>
    <t>Expected exit weight (kg liveweight)</t>
  </si>
  <si>
    <t>Expected sale weight at the yards / delivery point</t>
  </si>
  <si>
    <t>Feed Requirement (% of liveweight consumed per day as dry matter)</t>
  </si>
  <si>
    <t xml:space="preserve"> % dry matter in feed</t>
  </si>
  <si>
    <t>Total Feed Requirement (kg per head as fed)</t>
  </si>
  <si>
    <t>Kilograms /head per day consumption</t>
  </si>
  <si>
    <t>Estimate of total feed required (tons)</t>
  </si>
  <si>
    <t>Cost of Feed as fed ($/tonne including mixing costs and transport to property)</t>
  </si>
  <si>
    <t>Feed costs in $/head</t>
  </si>
  <si>
    <t xml:space="preserve">Direct costs of feeding </t>
  </si>
  <si>
    <t>Average sale price of fed animals ($ per kilogram liveweight at point of sale)</t>
  </si>
  <si>
    <t>Expected Sale value ($/head)</t>
  </si>
  <si>
    <t>Stock loss (%) during feeding period (mortality %)</t>
  </si>
  <si>
    <t>Annual Interest Rate (%) (opportunity cost of capital tied up)</t>
  </si>
  <si>
    <t xml:space="preserve">Commission (% of sale price) </t>
  </si>
  <si>
    <t xml:space="preserve">Transaction levy plus yard costs ($/head) </t>
  </si>
  <si>
    <t xml:space="preserve">5. Other costs ($/hd) </t>
  </si>
  <si>
    <t xml:space="preserve">   Freight out</t>
  </si>
  <si>
    <t xml:space="preserve">   Growth Promotant</t>
  </si>
  <si>
    <t xml:space="preserve">   Vet Costs </t>
  </si>
  <si>
    <t xml:space="preserve">   Other </t>
  </si>
  <si>
    <t xml:space="preserve">   Labour </t>
  </si>
  <si>
    <t xml:space="preserve">   Interest on Animal  </t>
  </si>
  <si>
    <t xml:space="preserve">   Interest on Feed  </t>
  </si>
  <si>
    <t xml:space="preserve">   Commission </t>
  </si>
  <si>
    <t xml:space="preserve">   Transaction levy and yard fees</t>
  </si>
  <si>
    <t xml:space="preserve">   Depreciation and opportunity cost of capital</t>
  </si>
  <si>
    <t xml:space="preserve">   Repairs and maintenance </t>
  </si>
  <si>
    <t xml:space="preserve">   Cost of stock losses </t>
  </si>
  <si>
    <t xml:space="preserve">Total feed and other costs </t>
  </si>
  <si>
    <t>Margin per animal fed</t>
  </si>
  <si>
    <t>Approximate surplus or deficit for the year</t>
  </si>
  <si>
    <t>Breakeven sale price ($ / kg liveweight)</t>
  </si>
  <si>
    <t>Breakeven purchase price ($/ kg liveweight)</t>
  </si>
  <si>
    <t>Sensitivity of margin per animal fed to price change</t>
  </si>
  <si>
    <t>Sale price increment ($/kg live) for sensitivity table .....</t>
  </si>
  <si>
    <t>Buy price increment ($/kg live) for sensitivity table .......</t>
  </si>
  <si>
    <t xml:space="preserve">Approximate </t>
  </si>
  <si>
    <t>value at saleyards ($/kg live)</t>
  </si>
  <si>
    <t xml:space="preserve">  Value into feed pen ($/kg live):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</si>
</sst>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#,##0;[Red]\-&quot;$&quot;#,##0"/>
    <numFmt numFmtId="8" formatCode="&quot;$&quot;#,##0.00;[Red]\-&quot;$&quot;#,##0.00"/>
    <numFmt numFmtId="164" formatCode="&quot;$&quot;#,##0.00_);\(&quot;$&quot;#,##0.00\)"/>
    <numFmt numFmtId="165" formatCode="&quot;$&quot;#,##0.00"/>
    <numFmt numFmtId="166" formatCode="0_)"/>
    <numFmt numFmtId="167" formatCode="&quot;$&quot;#,##0_);\(&quot;$&quot;#,##0\)"/>
    <numFmt numFmtId="168" formatCode="&quot;$&quot;#,##0"/>
    <numFmt numFmtId="169" formatCode="#,##0.00_);\(#,##0.00\)"/>
    <numFmt numFmtId="170" formatCode="#,##0_);\(#,##0\)"/>
    <numFmt numFmtId="171" formatCode="0.00_)"/>
    <numFmt numFmtId="172" formatCode="&quot;$&quot;#,##0.00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4" fillId="0" borderId="0"/>
  </cellStyleXfs>
  <cellXfs count="102">
    <xf numFmtId="0" fontId="0" fillId="0" borderId="0" xfId="0"/>
    <xf numFmtId="164" fontId="5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5" fontId="4" fillId="0" borderId="0" xfId="0" applyNumberFormat="1" applyFont="1"/>
    <xf numFmtId="0" fontId="4" fillId="2" borderId="0" xfId="0" applyFont="1" applyFill="1"/>
    <xf numFmtId="6" fontId="4" fillId="2" borderId="0" xfId="0" applyNumberFormat="1" applyFont="1" applyFill="1"/>
    <xf numFmtId="0" fontId="4" fillId="0" borderId="1" xfId="0" applyFont="1" applyBorder="1"/>
    <xf numFmtId="165" fontId="4" fillId="0" borderId="1" xfId="0" applyNumberFormat="1" applyFont="1" applyBorder="1"/>
    <xf numFmtId="8" fontId="4" fillId="0" borderId="1" xfId="0" applyNumberFormat="1" applyFont="1" applyBorder="1"/>
    <xf numFmtId="8" fontId="4" fillId="0" borderId="0" xfId="0" applyNumberFormat="1" applyFont="1" applyBorder="1"/>
    <xf numFmtId="166" fontId="4" fillId="0" borderId="0" xfId="0" applyNumberFormat="1" applyFont="1" applyAlignment="1" applyProtection="1">
      <alignment horizontal="center"/>
    </xf>
    <xf numFmtId="166" fontId="4" fillId="0" borderId="0" xfId="0" applyNumberFormat="1" applyFont="1" applyFill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left" vertical="center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4" fillId="4" borderId="0" xfId="0" applyNumberFormat="1" applyFont="1" applyFill="1" applyAlignment="1" applyProtection="1">
      <alignment horizontal="left"/>
      <protection locked="0"/>
    </xf>
    <xf numFmtId="2" fontId="4" fillId="4" borderId="0" xfId="1" applyNumberFormat="1" applyFont="1" applyFill="1" applyAlignment="1" applyProtection="1">
      <alignment horizontal="center"/>
      <protection locked="0"/>
    </xf>
    <xf numFmtId="167" fontId="4" fillId="4" borderId="0" xfId="0" applyNumberFormat="1" applyFont="1" applyFill="1" applyAlignment="1" applyProtection="1">
      <alignment horizontal="center"/>
      <protection locked="0"/>
    </xf>
    <xf numFmtId="166" fontId="4" fillId="4" borderId="0" xfId="0" applyNumberFormat="1" applyFont="1" applyFill="1" applyAlignment="1" applyProtection="1">
      <alignment horizontal="center"/>
      <protection locked="0"/>
    </xf>
    <xf numFmtId="168" fontId="4" fillId="5" borderId="0" xfId="0" applyNumberFormat="1" applyFont="1" applyFill="1" applyAlignment="1" applyProtection="1">
      <alignment horizontal="center"/>
    </xf>
    <xf numFmtId="0" fontId="6" fillId="6" borderId="0" xfId="0" applyFont="1" applyFill="1" applyAlignment="1">
      <alignment horizontal="left"/>
    </xf>
    <xf numFmtId="167" fontId="4" fillId="4" borderId="0" xfId="0" applyNumberFormat="1" applyFont="1" applyFill="1" applyAlignment="1">
      <alignment horizontal="center"/>
    </xf>
    <xf numFmtId="166" fontId="4" fillId="0" borderId="0" xfId="0" applyNumberFormat="1" applyFont="1" applyAlignment="1" applyProtection="1">
      <alignment horizontal="center"/>
      <protection locked="0"/>
    </xf>
    <xf numFmtId="167" fontId="4" fillId="5" borderId="3" xfId="0" applyNumberFormat="1" applyFont="1" applyFill="1" applyBorder="1" applyAlignment="1" applyProtection="1">
      <alignment horizontal="center"/>
    </xf>
    <xf numFmtId="167" fontId="4" fillId="5" borderId="1" xfId="0" applyNumberFormat="1" applyFont="1" applyFill="1" applyBorder="1" applyAlignment="1" applyProtection="1">
      <alignment horizontal="center"/>
    </xf>
    <xf numFmtId="0" fontId="4" fillId="0" borderId="0" xfId="2" applyFont="1" applyProtection="1"/>
    <xf numFmtId="164" fontId="4" fillId="5" borderId="0" xfId="0" applyNumberFormat="1" applyFont="1" applyFill="1" applyAlignment="1" applyProtection="1">
      <alignment horizontal="left"/>
    </xf>
    <xf numFmtId="164" fontId="4" fillId="5" borderId="0" xfId="0" applyNumberFormat="1" applyFont="1" applyFill="1" applyAlignment="1" applyProtection="1">
      <alignment horizontal="center"/>
    </xf>
    <xf numFmtId="10" fontId="4" fillId="4" borderId="0" xfId="0" applyNumberFormat="1" applyFont="1" applyFill="1" applyBorder="1" applyAlignment="1" applyProtection="1">
      <alignment horizontal="center"/>
      <protection locked="0"/>
    </xf>
    <xf numFmtId="0" fontId="7" fillId="0" borderId="0" xfId="3" applyFont="1" applyProtection="1"/>
    <xf numFmtId="0" fontId="4" fillId="5" borderId="0" xfId="0" applyFont="1" applyFill="1"/>
    <xf numFmtId="0" fontId="4" fillId="0" borderId="0" xfId="4" applyFont="1"/>
    <xf numFmtId="0" fontId="4" fillId="0" borderId="0" xfId="4" applyFont="1" applyAlignment="1">
      <alignment horizontal="left"/>
    </xf>
    <xf numFmtId="0" fontId="4" fillId="0" borderId="0" xfId="5" applyFont="1"/>
    <xf numFmtId="0" fontId="5" fillId="7" borderId="4" xfId="4" applyFont="1" applyFill="1" applyBorder="1" applyAlignment="1">
      <alignment horizontal="center"/>
    </xf>
    <xf numFmtId="0" fontId="5" fillId="7" borderId="5" xfId="4" applyFont="1" applyFill="1" applyBorder="1" applyAlignment="1">
      <alignment horizontal="center"/>
    </xf>
    <xf numFmtId="0" fontId="4" fillId="0" borderId="5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5" fillId="5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/>
    </xf>
    <xf numFmtId="3" fontId="4" fillId="2" borderId="0" xfId="5" applyNumberFormat="1" applyFont="1" applyFill="1" applyBorder="1" applyAlignment="1">
      <alignment horizontal="center"/>
    </xf>
    <xf numFmtId="0" fontId="4" fillId="0" borderId="0" xfId="0" applyFont="1" applyProtection="1"/>
    <xf numFmtId="2" fontId="4" fillId="5" borderId="0" xfId="0" applyNumberFormat="1" applyFont="1" applyFill="1" applyBorder="1" applyAlignment="1" applyProtection="1">
      <alignment horizontal="center"/>
    </xf>
    <xf numFmtId="164" fontId="4" fillId="4" borderId="0" xfId="0" applyNumberFormat="1" applyFont="1" applyFill="1" applyBorder="1" applyAlignment="1" applyProtection="1">
      <alignment horizontal="center"/>
      <protection locked="0"/>
    </xf>
    <xf numFmtId="168" fontId="4" fillId="5" borderId="0" xfId="0" applyNumberFormat="1" applyFont="1" applyFill="1" applyBorder="1" applyAlignment="1" applyProtection="1">
      <alignment horizontal="center"/>
    </xf>
    <xf numFmtId="0" fontId="5" fillId="8" borderId="6" xfId="0" applyFont="1" applyFill="1" applyBorder="1" applyAlignment="1" applyProtection="1">
      <alignment horizontal="left" vertical="center"/>
    </xf>
    <xf numFmtId="0" fontId="5" fillId="8" borderId="7" xfId="0" applyFont="1" applyFill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/>
    </xf>
    <xf numFmtId="0" fontId="4" fillId="4" borderId="2" xfId="5" applyFont="1" applyFill="1" applyBorder="1" applyAlignment="1">
      <alignment horizontal="center"/>
    </xf>
    <xf numFmtId="8" fontId="4" fillId="4" borderId="2" xfId="5" applyNumberFormat="1" applyFont="1" applyFill="1" applyBorder="1" applyAlignment="1">
      <alignment horizontal="center"/>
    </xf>
    <xf numFmtId="0" fontId="4" fillId="5" borderId="0" xfId="0" applyFont="1" applyFill="1" applyBorder="1" applyAlignment="1" applyProtection="1">
      <alignment horizontal="left"/>
    </xf>
    <xf numFmtId="0" fontId="4" fillId="5" borderId="0" xfId="0" applyFont="1" applyFill="1" applyAlignment="1">
      <alignment horizontal="center"/>
    </xf>
    <xf numFmtId="1" fontId="4" fillId="5" borderId="0" xfId="0" applyNumberFormat="1" applyFont="1" applyFill="1" applyBorder="1" applyAlignment="1" applyProtection="1">
      <alignment horizontal="center"/>
    </xf>
    <xf numFmtId="165" fontId="4" fillId="5" borderId="2" xfId="0" applyNumberFormat="1" applyFont="1" applyFill="1" applyBorder="1" applyAlignment="1" applyProtection="1">
      <alignment horizontal="center"/>
    </xf>
    <xf numFmtId="165" fontId="4" fillId="5" borderId="0" xfId="0" applyNumberFormat="1" applyFont="1" applyFill="1" applyBorder="1" applyAlignment="1" applyProtection="1">
      <alignment horizontal="center"/>
    </xf>
    <xf numFmtId="167" fontId="4" fillId="5" borderId="0" xfId="0" applyNumberFormat="1" applyFont="1" applyFill="1" applyAlignment="1" applyProtection="1">
      <alignment horizontal="center"/>
    </xf>
    <xf numFmtId="169" fontId="4" fillId="4" borderId="0" xfId="0" applyNumberFormat="1" applyFont="1" applyFill="1" applyAlignment="1" applyProtection="1">
      <alignment horizontal="center"/>
      <protection locked="0"/>
    </xf>
    <xf numFmtId="170" fontId="4" fillId="4" borderId="0" xfId="0" applyNumberFormat="1" applyFont="1" applyFill="1" applyAlignment="1" applyProtection="1">
      <alignment horizontal="center"/>
      <protection locked="0"/>
    </xf>
    <xf numFmtId="166" fontId="4" fillId="5" borderId="0" xfId="0" applyNumberFormat="1" applyFont="1" applyFill="1" applyAlignment="1" applyProtection="1">
      <alignment horizontal="center"/>
    </xf>
    <xf numFmtId="2" fontId="4" fillId="0" borderId="0" xfId="0" applyNumberFormat="1" applyFont="1"/>
    <xf numFmtId="171" fontId="4" fillId="4" borderId="0" xfId="0" applyNumberFormat="1" applyFont="1" applyFill="1" applyAlignment="1" applyProtection="1">
      <alignment horizontal="center"/>
      <protection locked="0"/>
    </xf>
    <xf numFmtId="9" fontId="4" fillId="2" borderId="0" xfId="0" applyNumberFormat="1" applyFont="1" applyFill="1" applyAlignment="1">
      <alignment horizontal="center"/>
    </xf>
    <xf numFmtId="171" fontId="4" fillId="5" borderId="0" xfId="0" applyNumberFormat="1" applyFont="1" applyFill="1" applyAlignment="1" applyProtection="1">
      <alignment horizontal="center"/>
    </xf>
    <xf numFmtId="164" fontId="5" fillId="5" borderId="0" xfId="0" applyNumberFormat="1" applyFont="1" applyFill="1" applyAlignment="1" applyProtection="1">
      <alignment horizontal="center"/>
    </xf>
    <xf numFmtId="168" fontId="5" fillId="0" borderId="0" xfId="0" applyNumberFormat="1" applyFont="1"/>
    <xf numFmtId="168" fontId="4" fillId="0" borderId="0" xfId="0" applyNumberFormat="1" applyFont="1"/>
    <xf numFmtId="164" fontId="4" fillId="4" borderId="0" xfId="0" applyNumberFormat="1" applyFont="1" applyFill="1" applyAlignment="1" applyProtection="1">
      <alignment horizontal="center"/>
      <protection locked="0"/>
    </xf>
    <xf numFmtId="10" fontId="4" fillId="4" borderId="0" xfId="1" applyNumberFormat="1" applyFont="1" applyFill="1" applyAlignment="1" applyProtection="1">
      <alignment horizontal="center"/>
      <protection locked="0"/>
    </xf>
    <xf numFmtId="10" fontId="4" fillId="5" borderId="0" xfId="1" applyNumberFormat="1" applyFont="1" applyFill="1" applyAlignment="1" applyProtection="1">
      <alignment horizontal="center"/>
      <protection locked="0"/>
    </xf>
    <xf numFmtId="169" fontId="4" fillId="0" borderId="0" xfId="0" applyNumberFormat="1" applyFont="1" applyAlignment="1" applyProtection="1">
      <alignment horizontal="center"/>
    </xf>
    <xf numFmtId="164" fontId="4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64" fontId="4" fillId="4" borderId="0" xfId="0" applyNumberFormat="1" applyFont="1" applyFill="1" applyAlignment="1" applyProtection="1">
      <alignment horizontal="center"/>
    </xf>
    <xf numFmtId="164" fontId="5" fillId="3" borderId="0" xfId="0" applyNumberFormat="1" applyFont="1" applyFill="1" applyAlignment="1" applyProtection="1">
      <alignment horizontal="left"/>
    </xf>
    <xf numFmtId="6" fontId="4" fillId="5" borderId="0" xfId="0" applyNumberFormat="1" applyFont="1" applyFill="1" applyAlignment="1" applyProtection="1">
      <alignment horizontal="center"/>
    </xf>
    <xf numFmtId="8" fontId="4" fillId="5" borderId="0" xfId="0" applyNumberFormat="1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72" fontId="8" fillId="4" borderId="4" xfId="0" applyNumberFormat="1" applyFont="1" applyFill="1" applyBorder="1" applyProtection="1">
      <protection locked="0"/>
    </xf>
    <xf numFmtId="172" fontId="8" fillId="4" borderId="5" xfId="0" applyNumberFormat="1" applyFont="1" applyFill="1" applyBorder="1" applyProtection="1">
      <protection locked="0"/>
    </xf>
    <xf numFmtId="0" fontId="9" fillId="0" borderId="0" xfId="0" applyFont="1" applyProtection="1"/>
    <xf numFmtId="172" fontId="5" fillId="0" borderId="6" xfId="0" applyNumberFormat="1" applyFont="1" applyBorder="1" applyAlignment="1" applyProtection="1">
      <alignment horizontal="center"/>
    </xf>
    <xf numFmtId="172" fontId="5" fillId="0" borderId="3" xfId="0" applyNumberFormat="1" applyFont="1" applyBorder="1" applyAlignment="1" applyProtection="1">
      <alignment horizontal="center"/>
    </xf>
    <xf numFmtId="172" fontId="5" fillId="0" borderId="3" xfId="0" applyNumberFormat="1" applyFont="1" applyFill="1" applyBorder="1" applyAlignment="1" applyProtection="1">
      <alignment horizontal="center"/>
    </xf>
    <xf numFmtId="172" fontId="5" fillId="0" borderId="7" xfId="0" applyNumberFormat="1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172" fontId="5" fillId="0" borderId="4" xfId="0" applyNumberFormat="1" applyFont="1" applyFill="1" applyBorder="1" applyAlignment="1" applyProtection="1">
      <alignment horizontal="center"/>
    </xf>
    <xf numFmtId="6" fontId="4" fillId="5" borderId="8" xfId="0" applyNumberFormat="1" applyFont="1" applyFill="1" applyBorder="1" applyAlignment="1" applyProtection="1">
      <alignment horizontal="center"/>
    </xf>
    <xf numFmtId="6" fontId="4" fillId="5" borderId="9" xfId="0" applyNumberFormat="1" applyFont="1" applyFill="1" applyBorder="1" applyAlignment="1" applyProtection="1">
      <alignment horizontal="center"/>
    </xf>
    <xf numFmtId="6" fontId="4" fillId="5" borderId="10" xfId="0" applyNumberFormat="1" applyFont="1" applyFill="1" applyBorder="1" applyAlignment="1" applyProtection="1">
      <alignment horizontal="center"/>
    </xf>
    <xf numFmtId="172" fontId="5" fillId="0" borderId="11" xfId="0" applyNumberFormat="1" applyFont="1" applyFill="1" applyBorder="1" applyAlignment="1" applyProtection="1">
      <alignment horizontal="center"/>
    </xf>
    <xf numFmtId="6" fontId="4" fillId="5" borderId="12" xfId="0" applyNumberFormat="1" applyFont="1" applyFill="1" applyBorder="1" applyAlignment="1" applyProtection="1">
      <alignment horizontal="center"/>
    </xf>
    <xf numFmtId="6" fontId="4" fillId="5" borderId="0" xfId="0" applyNumberFormat="1" applyFont="1" applyFill="1" applyBorder="1" applyAlignment="1" applyProtection="1">
      <alignment horizontal="center"/>
    </xf>
    <xf numFmtId="6" fontId="4" fillId="5" borderId="13" xfId="0" applyNumberFormat="1" applyFont="1" applyFill="1" applyBorder="1" applyAlignment="1" applyProtection="1">
      <alignment horizontal="center"/>
    </xf>
    <xf numFmtId="6" fontId="4" fillId="9" borderId="0" xfId="0" applyNumberFormat="1" applyFont="1" applyFill="1" applyBorder="1" applyAlignment="1" applyProtection="1">
      <alignment horizontal="center"/>
    </xf>
    <xf numFmtId="172" fontId="5" fillId="0" borderId="5" xfId="0" applyNumberFormat="1" applyFont="1" applyFill="1" applyBorder="1" applyAlignment="1" applyProtection="1">
      <alignment horizontal="center"/>
    </xf>
    <xf numFmtId="6" fontId="4" fillId="5" borderId="14" xfId="0" applyNumberFormat="1" applyFont="1" applyFill="1" applyBorder="1" applyAlignment="1" applyProtection="1">
      <alignment horizontal="center"/>
    </xf>
    <xf numFmtId="6" fontId="4" fillId="5" borderId="15" xfId="0" applyNumberFormat="1" applyFont="1" applyFill="1" applyBorder="1" applyAlignment="1" applyProtection="1">
      <alignment horizontal="center"/>
    </xf>
    <xf numFmtId="6" fontId="4" fillId="5" borderId="16" xfId="0" applyNumberFormat="1" applyFont="1" applyFill="1" applyBorder="1" applyAlignment="1" applyProtection="1">
      <alignment horizontal="center"/>
    </xf>
    <xf numFmtId="0" fontId="11" fillId="0" borderId="0" xfId="0" applyFont="1"/>
  </cellXfs>
  <cellStyles count="6">
    <cellStyle name="Arial  - Style1" xfId="2"/>
    <cellStyle name="Bold A - Style3" xfId="3"/>
    <cellStyle name="Normal" xfId="0" builtinId="0"/>
    <cellStyle name="Normal 2" xfId="4"/>
    <cellStyle name="Normal 3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24"/>
  <sheetViews>
    <sheetView showGridLines="0" tabSelected="1" zoomScale="75" zoomScaleNormal="75" workbookViewId="0">
      <selection activeCell="M6" sqref="M6"/>
    </sheetView>
  </sheetViews>
  <sheetFormatPr defaultColWidth="12.140625" defaultRowHeight="15" x14ac:dyDescent="0.2"/>
  <cols>
    <col min="1" max="1" width="12.140625" style="3"/>
    <col min="2" max="2" width="59.85546875" style="3" customWidth="1"/>
    <col min="3" max="3" width="15.5703125" style="2" customWidth="1"/>
    <col min="4" max="4" width="13.28515625" style="3" customWidth="1"/>
    <col min="5" max="5" width="10.5703125" style="2" customWidth="1"/>
    <col min="6" max="6" width="19.28515625" style="2" customWidth="1"/>
    <col min="7" max="7" width="8" style="3" bestFit="1" customWidth="1"/>
    <col min="8" max="8" width="11.7109375" style="3" bestFit="1" customWidth="1"/>
    <col min="9" max="9" width="11.140625" style="3" customWidth="1"/>
    <col min="10" max="10" width="21.5703125" style="3" customWidth="1"/>
    <col min="11" max="11" width="15.7109375" style="3" customWidth="1"/>
    <col min="12" max="12" width="12.28515625" style="3" bestFit="1" customWidth="1"/>
    <col min="13" max="13" width="16.28515625" style="3" customWidth="1"/>
    <col min="14" max="14" width="12.140625" style="3"/>
    <col min="15" max="15" width="29.7109375" style="3" customWidth="1"/>
    <col min="16" max="17" width="12.140625" style="3"/>
    <col min="18" max="18" width="41.85546875" style="3" customWidth="1"/>
    <col min="19" max="16384" width="12.140625" style="3"/>
  </cols>
  <sheetData>
    <row r="2" spans="2:9" ht="15.75" x14ac:dyDescent="0.25">
      <c r="B2" s="1" t="s">
        <v>0</v>
      </c>
    </row>
    <row r="3" spans="2:9" x14ac:dyDescent="0.2">
      <c r="B3" s="3" t="s">
        <v>1</v>
      </c>
    </row>
    <row r="4" spans="2:9" x14ac:dyDescent="0.2">
      <c r="C4" s="3"/>
      <c r="E4" s="3"/>
      <c r="F4" s="3"/>
    </row>
    <row r="5" spans="2:9" ht="15.75" x14ac:dyDescent="0.25">
      <c r="B5" s="4" t="s">
        <v>2</v>
      </c>
      <c r="C5" s="3"/>
      <c r="E5" s="3"/>
      <c r="F5" s="3"/>
      <c r="G5" s="5"/>
    </row>
    <row r="6" spans="2:9" x14ac:dyDescent="0.2">
      <c r="B6" s="6" t="s">
        <v>3</v>
      </c>
      <c r="C6" s="6">
        <v>1000</v>
      </c>
      <c r="D6" s="3" t="s">
        <v>4</v>
      </c>
      <c r="E6" s="7">
        <v>200</v>
      </c>
      <c r="F6" s="3" t="s">
        <v>5</v>
      </c>
      <c r="G6" s="5">
        <f t="shared" ref="G6:G11" si="0">E6/1000</f>
        <v>0.2</v>
      </c>
      <c r="H6" s="3" t="s">
        <v>6</v>
      </c>
      <c r="I6" s="5">
        <f t="shared" ref="I6:I11" si="1">G6*C6</f>
        <v>200</v>
      </c>
    </row>
    <row r="7" spans="2:9" x14ac:dyDescent="0.2">
      <c r="B7" s="6" t="s">
        <v>7</v>
      </c>
      <c r="C7" s="6">
        <v>100</v>
      </c>
      <c r="D7" s="3" t="s">
        <v>4</v>
      </c>
      <c r="E7" s="7">
        <v>600</v>
      </c>
      <c r="F7" s="3" t="s">
        <v>5</v>
      </c>
      <c r="G7" s="5">
        <f t="shared" si="0"/>
        <v>0.6</v>
      </c>
      <c r="H7" s="3" t="s">
        <v>6</v>
      </c>
      <c r="I7" s="5">
        <f t="shared" si="1"/>
        <v>60</v>
      </c>
    </row>
    <row r="8" spans="2:9" x14ac:dyDescent="0.2">
      <c r="B8" s="6" t="s">
        <v>8</v>
      </c>
      <c r="C8" s="6">
        <v>40</v>
      </c>
      <c r="D8" s="3" t="s">
        <v>4</v>
      </c>
      <c r="E8" s="7">
        <v>700</v>
      </c>
      <c r="F8" s="3" t="s">
        <v>5</v>
      </c>
      <c r="G8" s="5">
        <f t="shared" si="0"/>
        <v>0.7</v>
      </c>
      <c r="H8" s="3" t="s">
        <v>6</v>
      </c>
      <c r="I8" s="5">
        <f t="shared" si="1"/>
        <v>28</v>
      </c>
    </row>
    <row r="9" spans="2:9" x14ac:dyDescent="0.2">
      <c r="B9" s="6" t="s">
        <v>9</v>
      </c>
      <c r="C9" s="6">
        <v>10</v>
      </c>
      <c r="D9" s="3" t="s">
        <v>4</v>
      </c>
      <c r="E9" s="7">
        <v>1000</v>
      </c>
      <c r="F9" s="3" t="s">
        <v>5</v>
      </c>
      <c r="G9" s="5">
        <f t="shared" si="0"/>
        <v>1</v>
      </c>
      <c r="H9" s="3" t="s">
        <v>6</v>
      </c>
      <c r="I9" s="5">
        <f t="shared" si="1"/>
        <v>10</v>
      </c>
    </row>
    <row r="10" spans="2:9" x14ac:dyDescent="0.2">
      <c r="B10" s="6" t="s">
        <v>10</v>
      </c>
      <c r="C10" s="6">
        <v>10</v>
      </c>
      <c r="D10" s="3" t="s">
        <v>4</v>
      </c>
      <c r="E10" s="7">
        <v>400</v>
      </c>
      <c r="F10" s="3" t="s">
        <v>5</v>
      </c>
      <c r="G10" s="5">
        <f t="shared" si="0"/>
        <v>0.4</v>
      </c>
      <c r="H10" s="3" t="s">
        <v>6</v>
      </c>
      <c r="I10" s="5">
        <f t="shared" si="1"/>
        <v>4</v>
      </c>
    </row>
    <row r="11" spans="2:9" x14ac:dyDescent="0.2">
      <c r="B11" s="6" t="s">
        <v>11</v>
      </c>
      <c r="C11" s="6">
        <v>0.4</v>
      </c>
      <c r="D11" s="3" t="s">
        <v>4</v>
      </c>
      <c r="E11" s="7">
        <v>8000</v>
      </c>
      <c r="F11" s="3" t="s">
        <v>5</v>
      </c>
      <c r="G11" s="5">
        <f t="shared" si="0"/>
        <v>8</v>
      </c>
      <c r="H11" s="3" t="s">
        <v>6</v>
      </c>
      <c r="I11" s="5">
        <f t="shared" si="1"/>
        <v>3.2</v>
      </c>
    </row>
    <row r="12" spans="2:9" ht="15.75" thickBot="1" x14ac:dyDescent="0.25">
      <c r="B12" s="3" t="s">
        <v>12</v>
      </c>
      <c r="C12" s="8">
        <f>SUM(C5:C11)</f>
        <v>1160.4000000000001</v>
      </c>
      <c r="D12" s="3" t="s">
        <v>4</v>
      </c>
      <c r="E12" s="3"/>
      <c r="F12" s="3"/>
      <c r="I12" s="9">
        <f>SUM(I6:I11)</f>
        <v>305.2</v>
      </c>
    </row>
    <row r="13" spans="2:9" ht="15.75" thickTop="1" x14ac:dyDescent="0.2">
      <c r="B13" s="3" t="s">
        <v>13</v>
      </c>
      <c r="C13" s="5">
        <f>I12*1000/C12</f>
        <v>263.01275422268179</v>
      </c>
      <c r="E13" s="3"/>
      <c r="F13" s="3"/>
    </row>
    <row r="14" spans="2:9" x14ac:dyDescent="0.2">
      <c r="B14" s="3" t="s">
        <v>14</v>
      </c>
      <c r="C14" s="7">
        <v>100</v>
      </c>
      <c r="E14" s="3"/>
      <c r="F14" s="3"/>
    </row>
    <row r="15" spans="2:9" ht="15.75" thickBot="1" x14ac:dyDescent="0.25">
      <c r="B15" s="3" t="s">
        <v>15</v>
      </c>
      <c r="C15" s="10">
        <f>C14+C13</f>
        <v>363.01275422268179</v>
      </c>
      <c r="E15" s="3"/>
      <c r="F15" s="3"/>
    </row>
    <row r="16" spans="2:9" ht="15.75" thickTop="1" x14ac:dyDescent="0.2">
      <c r="C16" s="11"/>
      <c r="E16" s="3"/>
      <c r="F16" s="3"/>
    </row>
    <row r="17" spans="2:17" x14ac:dyDescent="0.2">
      <c r="C17" s="11"/>
      <c r="E17" s="3"/>
      <c r="F17" s="3"/>
    </row>
    <row r="18" spans="2:17" x14ac:dyDescent="0.2">
      <c r="B18" s="3" t="s">
        <v>16</v>
      </c>
      <c r="C18" s="6">
        <v>100</v>
      </c>
      <c r="E18" s="3"/>
      <c r="F18" s="3"/>
    </row>
    <row r="19" spans="2:17" x14ac:dyDescent="0.2">
      <c r="C19" s="12"/>
      <c r="F19" s="13"/>
    </row>
    <row r="20" spans="2:17" ht="15.75" x14ac:dyDescent="0.2">
      <c r="B20" s="14" t="s">
        <v>17</v>
      </c>
    </row>
    <row r="21" spans="2:17" x14ac:dyDescent="0.2">
      <c r="B21" s="15" t="s">
        <v>18</v>
      </c>
      <c r="C21" s="16" t="s">
        <v>19</v>
      </c>
      <c r="D21" s="16" t="s">
        <v>20</v>
      </c>
      <c r="E21" s="16" t="s">
        <v>21</v>
      </c>
      <c r="F21" s="16" t="s">
        <v>22</v>
      </c>
    </row>
    <row r="22" spans="2:17" x14ac:dyDescent="0.2">
      <c r="C22" s="16" t="s">
        <v>23</v>
      </c>
      <c r="D22" s="16" t="s">
        <v>24</v>
      </c>
      <c r="E22" s="16" t="s">
        <v>25</v>
      </c>
      <c r="F22" s="16" t="s">
        <v>24</v>
      </c>
    </row>
    <row r="23" spans="2:17" x14ac:dyDescent="0.2">
      <c r="B23" s="17" t="s">
        <v>26</v>
      </c>
      <c r="C23" s="18">
        <v>0.2</v>
      </c>
      <c r="D23" s="19">
        <v>0</v>
      </c>
      <c r="E23" s="20"/>
      <c r="F23" s="21">
        <f>IF(E23&lt;1,0,D23*C23/E23)</f>
        <v>0</v>
      </c>
    </row>
    <row r="24" spans="2:17" x14ac:dyDescent="0.2">
      <c r="B24" s="17" t="s">
        <v>27</v>
      </c>
      <c r="C24" s="18">
        <v>0.2</v>
      </c>
      <c r="D24" s="19">
        <v>5000</v>
      </c>
      <c r="E24" s="20">
        <v>15</v>
      </c>
      <c r="F24" s="21">
        <f t="shared" ref="F24:F31" si="2">IF(E24&lt;1,0,D24*C24/E24)</f>
        <v>66.666666666666671</v>
      </c>
    </row>
    <row r="25" spans="2:17" x14ac:dyDescent="0.2">
      <c r="B25" s="17" t="s">
        <v>28</v>
      </c>
      <c r="C25" s="18">
        <v>0.2</v>
      </c>
      <c r="D25" s="19">
        <v>0</v>
      </c>
      <c r="E25" s="20">
        <v>0</v>
      </c>
      <c r="F25" s="21">
        <f t="shared" si="2"/>
        <v>0</v>
      </c>
    </row>
    <row r="26" spans="2:17" x14ac:dyDescent="0.2">
      <c r="B26" s="17" t="s">
        <v>29</v>
      </c>
      <c r="C26" s="18">
        <v>0.2</v>
      </c>
      <c r="D26" s="19">
        <v>0</v>
      </c>
      <c r="E26" s="20">
        <v>0</v>
      </c>
      <c r="F26" s="21">
        <f t="shared" si="2"/>
        <v>0</v>
      </c>
      <c r="Q26" s="22"/>
    </row>
    <row r="27" spans="2:17" x14ac:dyDescent="0.2">
      <c r="B27" s="17" t="s">
        <v>30</v>
      </c>
      <c r="C27" s="18">
        <v>0.2</v>
      </c>
      <c r="D27" s="19">
        <v>0</v>
      </c>
      <c r="E27" s="20">
        <v>0</v>
      </c>
      <c r="F27" s="21">
        <f t="shared" si="2"/>
        <v>0</v>
      </c>
      <c r="Q27" s="22"/>
    </row>
    <row r="28" spans="2:17" x14ac:dyDescent="0.2">
      <c r="B28" s="17" t="s">
        <v>31</v>
      </c>
      <c r="C28" s="18">
        <v>0.2</v>
      </c>
      <c r="D28" s="23">
        <v>5000</v>
      </c>
      <c r="E28" s="20">
        <v>15</v>
      </c>
      <c r="F28" s="21">
        <f t="shared" si="2"/>
        <v>66.666666666666671</v>
      </c>
      <c r="Q28" s="22"/>
    </row>
    <row r="29" spans="2:17" x14ac:dyDescent="0.2">
      <c r="B29" s="17" t="s">
        <v>32</v>
      </c>
      <c r="C29" s="18">
        <v>0.2</v>
      </c>
      <c r="D29" s="23">
        <v>0</v>
      </c>
      <c r="E29" s="20">
        <v>0</v>
      </c>
      <c r="F29" s="21">
        <f t="shared" si="2"/>
        <v>0</v>
      </c>
      <c r="Q29" s="22"/>
    </row>
    <row r="30" spans="2:17" x14ac:dyDescent="0.2">
      <c r="B30" s="17" t="s">
        <v>32</v>
      </c>
      <c r="C30" s="18">
        <v>0.2</v>
      </c>
      <c r="D30" s="23">
        <v>0</v>
      </c>
      <c r="E30" s="20">
        <v>0</v>
      </c>
      <c r="F30" s="21">
        <f t="shared" si="2"/>
        <v>0</v>
      </c>
      <c r="Q30" s="22"/>
    </row>
    <row r="31" spans="2:17" x14ac:dyDescent="0.2">
      <c r="B31" s="17" t="s">
        <v>32</v>
      </c>
      <c r="C31" s="18">
        <v>0.2</v>
      </c>
      <c r="D31" s="23">
        <v>0</v>
      </c>
      <c r="E31" s="20">
        <v>0</v>
      </c>
      <c r="F31" s="21">
        <f t="shared" si="2"/>
        <v>0</v>
      </c>
      <c r="Q31" s="22"/>
    </row>
    <row r="32" spans="2:17" ht="15.75" thickBot="1" x14ac:dyDescent="0.25">
      <c r="B32" s="15" t="s">
        <v>33</v>
      </c>
      <c r="C32" s="24" t="s">
        <v>34</v>
      </c>
      <c r="D32" s="25">
        <f>SUM(D24:D31)</f>
        <v>10000</v>
      </c>
      <c r="E32" s="3"/>
      <c r="F32" s="26">
        <f>SUM(F23:F31)</f>
        <v>133.33333333333334</v>
      </c>
      <c r="P32" s="27"/>
      <c r="Q32" s="22"/>
    </row>
    <row r="33" spans="2:19" ht="15.75" thickTop="1" x14ac:dyDescent="0.2">
      <c r="B33" s="28" t="s">
        <v>35</v>
      </c>
      <c r="C33" s="3"/>
      <c r="E33" s="3"/>
      <c r="F33" s="29">
        <f>F32/C18</f>
        <v>1.3333333333333335</v>
      </c>
      <c r="P33" s="27"/>
      <c r="Q33" s="22"/>
    </row>
    <row r="34" spans="2:19" ht="15.75" x14ac:dyDescent="0.25">
      <c r="B34" s="15" t="s">
        <v>36</v>
      </c>
      <c r="C34" s="24"/>
      <c r="E34" s="12"/>
      <c r="F34" s="30">
        <v>0.05</v>
      </c>
      <c r="J34" s="31" t="s">
        <v>37</v>
      </c>
      <c r="K34" s="27"/>
      <c r="L34" s="22"/>
    </row>
    <row r="35" spans="2:19" ht="15.75" x14ac:dyDescent="0.25">
      <c r="B35" s="15" t="s">
        <v>38</v>
      </c>
      <c r="C35" s="24"/>
      <c r="E35" s="12"/>
      <c r="F35" s="29">
        <f>SUMPRODUCT(C23:C31,D23:D31)*F34/C18</f>
        <v>1</v>
      </c>
      <c r="J35" s="31"/>
      <c r="K35" s="27"/>
      <c r="L35" s="22"/>
    </row>
    <row r="36" spans="2:19" x14ac:dyDescent="0.2">
      <c r="B36" s="28" t="s">
        <v>39</v>
      </c>
      <c r="C36" s="32"/>
      <c r="D36" s="32"/>
      <c r="E36" s="32"/>
      <c r="F36" s="29">
        <f>F33+F35</f>
        <v>2.3333333333333335</v>
      </c>
      <c r="H36" s="5"/>
      <c r="J36" s="33" t="s">
        <v>40</v>
      </c>
      <c r="K36" s="33"/>
      <c r="L36" s="22"/>
    </row>
    <row r="37" spans="2:19" x14ac:dyDescent="0.2">
      <c r="C37" s="3"/>
      <c r="E37" s="3"/>
      <c r="F37" s="3"/>
      <c r="J37" s="34" t="s">
        <v>41</v>
      </c>
      <c r="K37" s="35"/>
      <c r="L37" s="22"/>
      <c r="R37" s="22"/>
      <c r="S37" s="22"/>
    </row>
    <row r="38" spans="2:19" ht="15.75" x14ac:dyDescent="0.25">
      <c r="B38" s="14" t="s">
        <v>42</v>
      </c>
      <c r="C38" s="3"/>
      <c r="F38" s="19">
        <v>500</v>
      </c>
      <c r="J38" s="36" t="s">
        <v>43</v>
      </c>
      <c r="K38" s="36" t="s">
        <v>44</v>
      </c>
      <c r="L38" s="22"/>
      <c r="R38" s="22"/>
      <c r="S38" s="22"/>
    </row>
    <row r="39" spans="2:19" ht="15.75" x14ac:dyDescent="0.25">
      <c r="B39" s="32" t="s">
        <v>45</v>
      </c>
      <c r="C39" s="32"/>
      <c r="D39" s="32"/>
      <c r="E39" s="32"/>
      <c r="F39" s="29">
        <f>F38/C18</f>
        <v>5</v>
      </c>
      <c r="H39" s="5"/>
      <c r="J39" s="37" t="s">
        <v>46</v>
      </c>
      <c r="K39" s="37" t="s">
        <v>47</v>
      </c>
      <c r="L39" s="22"/>
      <c r="R39" s="22"/>
      <c r="S39" s="22"/>
    </row>
    <row r="40" spans="2:19" x14ac:dyDescent="0.2">
      <c r="C40" s="3"/>
      <c r="E40" s="3"/>
      <c r="F40" s="3"/>
      <c r="J40" s="38">
        <v>250</v>
      </c>
      <c r="K40" s="38">
        <v>38</v>
      </c>
      <c r="L40" s="22"/>
      <c r="R40" s="22"/>
      <c r="S40" s="22"/>
    </row>
    <row r="41" spans="2:19" ht="15.75" x14ac:dyDescent="0.2">
      <c r="B41" s="14" t="s">
        <v>48</v>
      </c>
      <c r="F41" s="19">
        <v>1500</v>
      </c>
      <c r="J41" s="39">
        <v>300</v>
      </c>
      <c r="K41" s="39">
        <v>34</v>
      </c>
      <c r="L41" s="22"/>
      <c r="R41" s="22"/>
      <c r="S41" s="22"/>
    </row>
    <row r="42" spans="2:19" x14ac:dyDescent="0.2">
      <c r="B42" s="28" t="s">
        <v>49</v>
      </c>
      <c r="C42" s="32"/>
      <c r="D42" s="32"/>
      <c r="E42" s="32"/>
      <c r="F42" s="29">
        <f>F41/C18</f>
        <v>15</v>
      </c>
      <c r="H42" s="5"/>
      <c r="J42" s="39">
        <v>350</v>
      </c>
      <c r="K42" s="39">
        <v>30</v>
      </c>
      <c r="L42" s="22"/>
    </row>
    <row r="43" spans="2:19" x14ac:dyDescent="0.2">
      <c r="C43" s="3"/>
      <c r="E43" s="3"/>
      <c r="F43" s="3"/>
      <c r="J43" s="39">
        <v>400</v>
      </c>
      <c r="K43" s="39">
        <v>28</v>
      </c>
      <c r="L43" s="22"/>
    </row>
    <row r="44" spans="2:19" ht="15.75" x14ac:dyDescent="0.2">
      <c r="B44" s="14" t="s">
        <v>50</v>
      </c>
      <c r="F44" s="3"/>
      <c r="J44" s="39">
        <v>450</v>
      </c>
      <c r="K44" s="39">
        <v>26</v>
      </c>
      <c r="L44" s="22"/>
    </row>
    <row r="45" spans="2:19" ht="15.75" x14ac:dyDescent="0.2">
      <c r="B45" s="40" t="s">
        <v>51</v>
      </c>
      <c r="F45" s="3"/>
      <c r="J45" s="39">
        <v>500</v>
      </c>
      <c r="K45" s="39">
        <v>24</v>
      </c>
      <c r="L45" s="22"/>
    </row>
    <row r="46" spans="2:19" x14ac:dyDescent="0.2">
      <c r="B46" s="41" t="s">
        <v>52</v>
      </c>
      <c r="F46" s="42">
        <v>306</v>
      </c>
      <c r="J46" s="39">
        <v>550</v>
      </c>
      <c r="K46" s="39">
        <v>22</v>
      </c>
      <c r="L46" s="43"/>
    </row>
    <row r="47" spans="2:19" x14ac:dyDescent="0.2">
      <c r="B47" s="41" t="s">
        <v>53</v>
      </c>
      <c r="F47" s="30">
        <v>0.05</v>
      </c>
      <c r="J47" s="39">
        <v>600</v>
      </c>
      <c r="K47" s="39">
        <v>20</v>
      </c>
      <c r="L47" s="43"/>
    </row>
    <row r="48" spans="2:19" x14ac:dyDescent="0.2">
      <c r="B48" s="41" t="s">
        <v>54</v>
      </c>
      <c r="F48" s="44">
        <f t="shared" ref="F48" si="3">F46*(1-F47)</f>
        <v>290.7</v>
      </c>
      <c r="J48" s="39">
        <v>650</v>
      </c>
      <c r="K48" s="39">
        <v>18</v>
      </c>
      <c r="L48" s="43"/>
    </row>
    <row r="49" spans="2:19" x14ac:dyDescent="0.2">
      <c r="B49" s="41" t="s">
        <v>55</v>
      </c>
      <c r="F49" s="45">
        <v>2.4</v>
      </c>
      <c r="L49" s="22"/>
    </row>
    <row r="50" spans="2:19" ht="15.75" x14ac:dyDescent="0.2">
      <c r="B50" s="41" t="s">
        <v>56</v>
      </c>
      <c r="F50" s="46">
        <f t="shared" ref="F50" si="4">F49*F48</f>
        <v>697.68</v>
      </c>
      <c r="J50" s="47" t="s">
        <v>57</v>
      </c>
      <c r="K50" s="48"/>
      <c r="L50" s="22"/>
    </row>
    <row r="51" spans="2:19" x14ac:dyDescent="0.2">
      <c r="B51" s="41" t="s">
        <v>58</v>
      </c>
      <c r="F51" s="30">
        <v>0.04</v>
      </c>
    </row>
    <row r="52" spans="2:19" x14ac:dyDescent="0.2">
      <c r="B52" s="41" t="s">
        <v>59</v>
      </c>
      <c r="F52" s="46">
        <f t="shared" ref="F52" si="5">F51*F50</f>
        <v>27.9072</v>
      </c>
      <c r="J52" s="49" t="s">
        <v>60</v>
      </c>
      <c r="K52" s="50">
        <v>500</v>
      </c>
      <c r="L52" s="50">
        <v>500</v>
      </c>
    </row>
    <row r="53" spans="2:19" x14ac:dyDescent="0.2">
      <c r="B53" s="41" t="s">
        <v>61</v>
      </c>
      <c r="F53" s="45">
        <v>15</v>
      </c>
      <c r="J53" s="49" t="s">
        <v>62</v>
      </c>
      <c r="K53" s="51">
        <v>2</v>
      </c>
      <c r="L53" s="51">
        <v>2</v>
      </c>
    </row>
    <row r="54" spans="2:19" x14ac:dyDescent="0.2">
      <c r="B54" s="41" t="s">
        <v>63</v>
      </c>
      <c r="F54" s="45">
        <v>29.41</v>
      </c>
      <c r="J54" s="49" t="s">
        <v>64</v>
      </c>
      <c r="K54" s="50">
        <v>34</v>
      </c>
      <c r="L54" s="50">
        <v>30</v>
      </c>
    </row>
    <row r="55" spans="2:19" x14ac:dyDescent="0.2">
      <c r="B55" s="52" t="s">
        <v>65</v>
      </c>
      <c r="C55" s="53"/>
      <c r="D55" s="32"/>
      <c r="E55" s="53"/>
      <c r="F55" s="46">
        <f t="shared" ref="F55" si="6">F50-F52-F53-F54</f>
        <v>625.36279999999999</v>
      </c>
    </row>
    <row r="56" spans="2:19" x14ac:dyDescent="0.2">
      <c r="B56" s="52" t="s">
        <v>66</v>
      </c>
      <c r="C56" s="53"/>
      <c r="D56" s="32"/>
      <c r="E56" s="53"/>
      <c r="F56" s="54">
        <f t="shared" ref="F56" si="7">F46</f>
        <v>306</v>
      </c>
      <c r="J56" s="49" t="s">
        <v>67</v>
      </c>
      <c r="K56" s="55">
        <f>K52*K53/K54</f>
        <v>29.411764705882351</v>
      </c>
      <c r="L56" s="55">
        <f>L52*L53/L54</f>
        <v>33.333333333333336</v>
      </c>
      <c r="R56" s="22"/>
      <c r="S56" s="22"/>
    </row>
    <row r="57" spans="2:19" x14ac:dyDescent="0.2">
      <c r="B57" s="52" t="s">
        <v>68</v>
      </c>
      <c r="C57" s="53"/>
      <c r="D57" s="32"/>
      <c r="E57" s="53"/>
      <c r="F57" s="56">
        <f t="shared" ref="F57" si="8">IF(F48&gt;0,(F52+F53+F54)/F48,0)</f>
        <v>0.24876917784657723</v>
      </c>
    </row>
    <row r="58" spans="2:19" x14ac:dyDescent="0.2">
      <c r="B58" s="28" t="s">
        <v>69</v>
      </c>
      <c r="C58" s="53"/>
      <c r="D58" s="32"/>
      <c r="E58" s="53"/>
      <c r="F58" s="56">
        <f>IF(F56&lt;=0,0,F55/F56)</f>
        <v>2.0436692810457515</v>
      </c>
    </row>
    <row r="59" spans="2:19" x14ac:dyDescent="0.2">
      <c r="B59" s="32" t="s">
        <v>70</v>
      </c>
      <c r="C59" s="32"/>
      <c r="D59" s="32"/>
      <c r="E59" s="32"/>
      <c r="F59" s="29">
        <f>F58*F61</f>
        <v>625.36279999999999</v>
      </c>
    </row>
    <row r="60" spans="2:19" x14ac:dyDescent="0.2">
      <c r="B60" s="32" t="s">
        <v>71</v>
      </c>
      <c r="C60" s="32"/>
      <c r="D60" s="32"/>
      <c r="E60" s="32"/>
      <c r="F60" s="57">
        <f>F59*C18</f>
        <v>62536.28</v>
      </c>
    </row>
    <row r="61" spans="2:19" x14ac:dyDescent="0.2">
      <c r="B61" s="28" t="s">
        <v>72</v>
      </c>
      <c r="C61" s="53"/>
      <c r="D61" s="32"/>
      <c r="E61" s="53"/>
      <c r="F61" s="54">
        <f>F46</f>
        <v>306</v>
      </c>
    </row>
    <row r="62" spans="2:19" x14ac:dyDescent="0.2">
      <c r="B62" s="15" t="s">
        <v>73</v>
      </c>
      <c r="F62" s="58">
        <v>0.7</v>
      </c>
    </row>
    <row r="63" spans="2:19" x14ac:dyDescent="0.2">
      <c r="B63" s="15" t="s">
        <v>74</v>
      </c>
      <c r="F63" s="59">
        <v>90</v>
      </c>
    </row>
    <row r="64" spans="2:19" x14ac:dyDescent="0.2">
      <c r="B64" s="28" t="s">
        <v>75</v>
      </c>
      <c r="C64" s="32"/>
      <c r="D64" s="32"/>
      <c r="E64" s="32"/>
      <c r="F64" s="60">
        <f>F61+F62*F63</f>
        <v>369</v>
      </c>
      <c r="K64" s="2"/>
      <c r="L64" s="61"/>
    </row>
    <row r="65" spans="2:11" x14ac:dyDescent="0.2">
      <c r="B65" s="41" t="s">
        <v>53</v>
      </c>
      <c r="F65" s="30">
        <v>0.05</v>
      </c>
    </row>
    <row r="66" spans="2:11" x14ac:dyDescent="0.2">
      <c r="B66" s="28" t="s">
        <v>76</v>
      </c>
      <c r="C66" s="32"/>
      <c r="D66" s="32"/>
      <c r="E66" s="32"/>
      <c r="F66" s="60">
        <f>F64-(F64*F65)</f>
        <v>350.55</v>
      </c>
    </row>
    <row r="68" spans="2:11" x14ac:dyDescent="0.2">
      <c r="B68" s="15" t="s">
        <v>77</v>
      </c>
      <c r="F68" s="62">
        <v>1.2</v>
      </c>
    </row>
    <row r="69" spans="2:11" x14ac:dyDescent="0.2">
      <c r="B69" s="3" t="s">
        <v>78</v>
      </c>
      <c r="F69" s="63">
        <v>0.76</v>
      </c>
    </row>
    <row r="70" spans="2:11" x14ac:dyDescent="0.2">
      <c r="B70" s="28" t="s">
        <v>79</v>
      </c>
      <c r="C70" s="32"/>
      <c r="D70" s="32"/>
      <c r="E70" s="32"/>
      <c r="F70" s="60">
        <f>((F61+F64)/2)*F63*F68/100*1/F69</f>
        <v>479.60526315789474</v>
      </c>
    </row>
    <row r="71" spans="2:11" x14ac:dyDescent="0.2">
      <c r="B71" s="28" t="s">
        <v>80</v>
      </c>
      <c r="C71" s="32"/>
      <c r="D71" s="32"/>
      <c r="E71" s="32"/>
      <c r="F71" s="64">
        <f>F70/F63</f>
        <v>5.3289473684210531</v>
      </c>
    </row>
    <row r="72" spans="2:11" x14ac:dyDescent="0.2">
      <c r="B72" s="28" t="s">
        <v>81</v>
      </c>
      <c r="C72" s="32"/>
      <c r="D72" s="32"/>
      <c r="E72" s="32"/>
      <c r="F72" s="64">
        <f>C18*F70/1000</f>
        <v>47.960526315789473</v>
      </c>
    </row>
    <row r="73" spans="2:11" x14ac:dyDescent="0.2">
      <c r="B73" s="28" t="s">
        <v>82</v>
      </c>
      <c r="C73" s="32"/>
      <c r="D73" s="32"/>
      <c r="E73" s="32"/>
      <c r="F73" s="29">
        <f>C15</f>
        <v>363.01275422268179</v>
      </c>
      <c r="G73" s="61"/>
    </row>
    <row r="74" spans="2:11" ht="15.75" x14ac:dyDescent="0.25">
      <c r="B74" s="28" t="s">
        <v>83</v>
      </c>
      <c r="C74" s="32"/>
      <c r="D74" s="32"/>
      <c r="E74" s="32"/>
      <c r="F74" s="65">
        <f>F70*F73/1000</f>
        <v>174.10282751864145</v>
      </c>
      <c r="G74" s="4"/>
      <c r="H74" s="66">
        <f>F74*C18</f>
        <v>17410.282751864146</v>
      </c>
      <c r="I74" s="3" t="s">
        <v>84</v>
      </c>
      <c r="J74" s="67"/>
    </row>
    <row r="75" spans="2:11" x14ac:dyDescent="0.2">
      <c r="B75" s="15" t="s">
        <v>85</v>
      </c>
      <c r="F75" s="68">
        <v>2.4</v>
      </c>
    </row>
    <row r="76" spans="2:11" x14ac:dyDescent="0.2">
      <c r="B76" s="28" t="s">
        <v>86</v>
      </c>
      <c r="C76" s="32"/>
      <c r="D76" s="32"/>
      <c r="E76" s="32"/>
      <c r="F76" s="57">
        <f>F75*F66</f>
        <v>841.32</v>
      </c>
    </row>
    <row r="77" spans="2:11" x14ac:dyDescent="0.2">
      <c r="B77" s="15" t="s">
        <v>87</v>
      </c>
      <c r="F77" s="69">
        <v>0</v>
      </c>
      <c r="K77" s="2"/>
    </row>
    <row r="78" spans="2:11" x14ac:dyDescent="0.2">
      <c r="B78" s="28" t="s">
        <v>88</v>
      </c>
      <c r="C78" s="53"/>
      <c r="D78" s="32"/>
      <c r="E78" s="53"/>
      <c r="F78" s="70">
        <f>F34</f>
        <v>0.05</v>
      </c>
    </row>
    <row r="79" spans="2:11" x14ac:dyDescent="0.2">
      <c r="B79" s="28" t="s">
        <v>89</v>
      </c>
      <c r="C79" s="53"/>
      <c r="D79" s="32"/>
      <c r="E79" s="53"/>
      <c r="F79" s="70">
        <f>F51</f>
        <v>0.04</v>
      </c>
      <c r="K79" s="2"/>
    </row>
    <row r="80" spans="2:11" x14ac:dyDescent="0.2">
      <c r="B80" s="15" t="s">
        <v>90</v>
      </c>
      <c r="F80" s="68">
        <v>15</v>
      </c>
    </row>
    <row r="81" spans="2:13" x14ac:dyDescent="0.2">
      <c r="C81" s="3"/>
      <c r="E81" s="3"/>
      <c r="F81" s="3"/>
    </row>
    <row r="82" spans="2:13" ht="15.75" x14ac:dyDescent="0.2">
      <c r="B82" s="14" t="s">
        <v>91</v>
      </c>
      <c r="F82" s="71"/>
    </row>
    <row r="83" spans="2:13" x14ac:dyDescent="0.2">
      <c r="B83" s="15" t="s">
        <v>92</v>
      </c>
      <c r="F83" s="68">
        <v>33</v>
      </c>
    </row>
    <row r="84" spans="2:13" x14ac:dyDescent="0.2">
      <c r="B84" s="72" t="s">
        <v>93</v>
      </c>
      <c r="C84" s="73"/>
      <c r="D84" s="74"/>
      <c r="E84" s="73"/>
      <c r="F84" s="75">
        <v>0</v>
      </c>
    </row>
    <row r="85" spans="2:13" x14ac:dyDescent="0.2">
      <c r="B85" s="72" t="s">
        <v>94</v>
      </c>
      <c r="C85" s="73"/>
      <c r="D85" s="74"/>
      <c r="E85" s="73"/>
      <c r="F85" s="75">
        <v>0</v>
      </c>
    </row>
    <row r="86" spans="2:13" x14ac:dyDescent="0.2">
      <c r="B86" s="72" t="s">
        <v>95</v>
      </c>
      <c r="C86" s="73"/>
      <c r="D86" s="74"/>
      <c r="E86" s="73"/>
      <c r="F86" s="75">
        <v>0</v>
      </c>
      <c r="K86" s="2"/>
    </row>
    <row r="87" spans="2:13" x14ac:dyDescent="0.2">
      <c r="B87" s="28" t="s">
        <v>96</v>
      </c>
      <c r="C87" s="53"/>
      <c r="D87" s="32"/>
      <c r="E87" s="53"/>
      <c r="F87" s="29">
        <f>F42</f>
        <v>15</v>
      </c>
    </row>
    <row r="88" spans="2:13" x14ac:dyDescent="0.2">
      <c r="B88" s="28" t="s">
        <v>97</v>
      </c>
      <c r="C88" s="53"/>
      <c r="D88" s="32"/>
      <c r="E88" s="53"/>
      <c r="F88" s="29">
        <f>F58*F61*F78*(F63/365)</f>
        <v>7.7099523287671232</v>
      </c>
      <c r="K88" s="2"/>
    </row>
    <row r="89" spans="2:13" x14ac:dyDescent="0.2">
      <c r="B89" s="28" t="s">
        <v>98</v>
      </c>
      <c r="C89" s="53"/>
      <c r="D89" s="32"/>
      <c r="E89" s="53"/>
      <c r="F89" s="29">
        <f>F74*F78*(F63/365)</f>
        <v>2.1464732159832507</v>
      </c>
    </row>
    <row r="90" spans="2:13" x14ac:dyDescent="0.2">
      <c r="B90" s="28" t="s">
        <v>99</v>
      </c>
      <c r="C90" s="53"/>
      <c r="D90" s="32"/>
      <c r="E90" s="53"/>
      <c r="F90" s="29">
        <f>F79*F75*F66</f>
        <v>33.652799999999999</v>
      </c>
    </row>
    <row r="91" spans="2:13" x14ac:dyDescent="0.2">
      <c r="B91" s="28" t="s">
        <v>100</v>
      </c>
      <c r="C91" s="53"/>
      <c r="D91" s="32"/>
      <c r="E91" s="53"/>
      <c r="F91" s="29">
        <f>F80</f>
        <v>15</v>
      </c>
    </row>
    <row r="92" spans="2:13" x14ac:dyDescent="0.2">
      <c r="B92" s="28" t="s">
        <v>101</v>
      </c>
      <c r="C92" s="53"/>
      <c r="D92" s="32"/>
      <c r="E92" s="53"/>
      <c r="F92" s="29">
        <f>F36</f>
        <v>2.3333333333333335</v>
      </c>
    </row>
    <row r="93" spans="2:13" x14ac:dyDescent="0.2">
      <c r="B93" s="28" t="s">
        <v>102</v>
      </c>
      <c r="C93" s="53"/>
      <c r="D93" s="32"/>
      <c r="E93" s="53"/>
      <c r="F93" s="29">
        <f>F39</f>
        <v>5</v>
      </c>
    </row>
    <row r="94" spans="2:13" x14ac:dyDescent="0.2">
      <c r="B94" s="28" t="s">
        <v>103</v>
      </c>
      <c r="C94" s="53"/>
      <c r="D94" s="32"/>
      <c r="E94" s="53"/>
      <c r="F94" s="29">
        <f>F61*F58*F77</f>
        <v>0</v>
      </c>
      <c r="J94" s="101"/>
      <c r="K94" s="101"/>
      <c r="L94" s="101"/>
      <c r="M94" s="101"/>
    </row>
    <row r="95" spans="2:13" ht="15.75" x14ac:dyDescent="0.25">
      <c r="B95" s="28" t="s">
        <v>104</v>
      </c>
      <c r="C95" s="53"/>
      <c r="D95" s="32"/>
      <c r="E95" s="53"/>
      <c r="F95" s="65">
        <f>SUM(F83:F94)+F74</f>
        <v>287.94538639672516</v>
      </c>
      <c r="G95" s="4"/>
      <c r="H95" s="66">
        <f>F95*C18</f>
        <v>28794.538639672515</v>
      </c>
      <c r="J95" s="101"/>
      <c r="K95" s="101"/>
      <c r="L95" s="101"/>
      <c r="M95" s="101"/>
    </row>
    <row r="97" spans="2:10" ht="15.75" x14ac:dyDescent="0.25">
      <c r="B97" s="76" t="s">
        <v>105</v>
      </c>
      <c r="F97" s="77">
        <f>F75*F66-F58*F61-F95</f>
        <v>-71.988186396725098</v>
      </c>
    </row>
    <row r="98" spans="2:10" x14ac:dyDescent="0.2">
      <c r="B98" s="28" t="s">
        <v>106</v>
      </c>
      <c r="C98" s="53"/>
      <c r="D98" s="32"/>
      <c r="E98" s="53"/>
      <c r="F98" s="77">
        <f>F97*C18</f>
        <v>-7198.8186396725096</v>
      </c>
    </row>
    <row r="99" spans="2:10" x14ac:dyDescent="0.2">
      <c r="B99" s="28" t="s">
        <v>107</v>
      </c>
      <c r="C99" s="53"/>
      <c r="D99" s="32"/>
      <c r="E99" s="53"/>
      <c r="F99" s="78">
        <f>((+F61*F58)+F95)/F66</f>
        <v>2.6053578274047218</v>
      </c>
    </row>
    <row r="100" spans="2:10" x14ac:dyDescent="0.2">
      <c r="B100" s="28" t="s">
        <v>108</v>
      </c>
      <c r="C100" s="53"/>
      <c r="D100" s="32"/>
      <c r="E100" s="53"/>
      <c r="F100" s="78">
        <f>((F64*F75)-F95)/F61</f>
        <v>1.9531196522982837</v>
      </c>
    </row>
    <row r="103" spans="2:10" ht="15.75" x14ac:dyDescent="0.25">
      <c r="B103" s="4" t="s">
        <v>109</v>
      </c>
      <c r="C103" s="3"/>
      <c r="D103" s="2"/>
      <c r="F103" s="79"/>
    </row>
    <row r="104" spans="2:10" x14ac:dyDescent="0.2">
      <c r="B104" s="79" t="s">
        <v>110</v>
      </c>
      <c r="C104" s="80">
        <v>0.2</v>
      </c>
      <c r="E104" s="3"/>
      <c r="F104" s="79"/>
    </row>
    <row r="105" spans="2:10" x14ac:dyDescent="0.2">
      <c r="B105" s="79" t="s">
        <v>111</v>
      </c>
      <c r="C105" s="81">
        <v>0.2</v>
      </c>
      <c r="E105" s="3"/>
    </row>
    <row r="106" spans="2:10" x14ac:dyDescent="0.2">
      <c r="C106" s="3"/>
    </row>
    <row r="107" spans="2:10" x14ac:dyDescent="0.2">
      <c r="C107" s="43"/>
      <c r="D107" s="15" t="s">
        <v>85</v>
      </c>
      <c r="E107" s="3"/>
      <c r="F107" s="3"/>
    </row>
    <row r="108" spans="2:10" ht="15.75" x14ac:dyDescent="0.25">
      <c r="B108" s="82"/>
      <c r="C108" s="3"/>
      <c r="D108" s="83">
        <f>E108-$C$104</f>
        <v>1.7999999999999998</v>
      </c>
      <c r="E108" s="84">
        <f>F108-$C$104</f>
        <v>1.9999999999999998</v>
      </c>
      <c r="F108" s="84">
        <f>G108-$C$104</f>
        <v>2.1999999999999997</v>
      </c>
      <c r="G108" s="85">
        <f>F75</f>
        <v>2.4</v>
      </c>
      <c r="H108" s="84">
        <f>G108+$C$104</f>
        <v>2.6</v>
      </c>
      <c r="I108" s="84">
        <f>H108+$C$104</f>
        <v>2.8000000000000003</v>
      </c>
      <c r="J108" s="86">
        <f>I108+$C$104</f>
        <v>3.0000000000000004</v>
      </c>
    </row>
    <row r="109" spans="2:10" x14ac:dyDescent="0.2">
      <c r="B109" s="79" t="s">
        <v>112</v>
      </c>
      <c r="C109" s="43"/>
      <c r="D109" s="43"/>
      <c r="E109" s="43"/>
      <c r="F109" s="43"/>
      <c r="G109" s="43"/>
      <c r="H109" s="43"/>
      <c r="I109" s="43"/>
      <c r="J109" s="43"/>
    </row>
    <row r="110" spans="2:10" x14ac:dyDescent="0.2">
      <c r="B110" s="2" t="s">
        <v>113</v>
      </c>
      <c r="C110" s="87" t="s">
        <v>114</v>
      </c>
      <c r="D110" s="2"/>
      <c r="F110" s="82" t="s">
        <v>105</v>
      </c>
      <c r="G110" s="43"/>
      <c r="H110" s="43"/>
      <c r="I110" s="43"/>
      <c r="J110" s="43"/>
    </row>
    <row r="111" spans="2:10" ht="15.75" x14ac:dyDescent="0.25">
      <c r="B111" s="88">
        <f t="shared" ref="B111:B112" si="9">B112-$C$105</f>
        <v>1.7999999999999998</v>
      </c>
      <c r="C111" s="88">
        <f>C112-$C$105</f>
        <v>1.4436692810457517</v>
      </c>
      <c r="D111" s="89">
        <f t="shared" ref="D111:D117" si="10">$D$108*$F$66-$F$74-SUM($F$83:$F$86)-$F$87-($F$61*C111*$F$78*$F$63/365)-$F$89-($D$108*$F$66*$F$79)-(C111*$F$61)-$F$91-$F$92-$F$93-$F$94</f>
        <v>-88.041424752889512</v>
      </c>
      <c r="E111" s="90">
        <f t="shared" ref="E111:E117" si="11">$E$108*$F$66-$F$74-SUM($F$83:$F$86)-$F$87-($F$61*C111*$F$78*$F$63/365)-$F$89-($E$108*$F$66*$F$79)-(C111*$F$61)-$F$91-$F$92-$F$93-$F$94</f>
        <v>-20.735824752889606</v>
      </c>
      <c r="F111" s="90">
        <f t="shared" ref="F111:F117" si="12">$F$108*$F$66-$F$74-SUM($F$83:$F$86)-$F$87-($F$61*C111*$F$78*$F$63/365)-$F$89-($F$108*$F$66*$F$79)-(C111*$F$61)-$F$91-$F$92-$F$93-$F$94</f>
        <v>46.569775247110307</v>
      </c>
      <c r="G111" s="90">
        <f t="shared" ref="G111:G117" si="13">$G$108*$F$66-$F$74-SUM($F$83:$F$86)-$F$87-($F$61*C111*$F$78*$F$63/365)-$F$89-($G$108*$F$66*$F$79)-(C111*$F$61)-$F$91-$F$92-$F$93-$F$94</f>
        <v>113.87537524711045</v>
      </c>
      <c r="H111" s="90">
        <f t="shared" ref="H111:H117" si="14">$H$108*$F$66-$F$74-SUM($F$83:$F$86)-$F$87-($F$61*C111*$F$78*$F$63/365)-$F$89-($H$108*$F$66*$F$79)-(C111*$F$61)-$F$91-$F$92-$F$93-$F$94</f>
        <v>181.18097524711047</v>
      </c>
      <c r="I111" s="90">
        <f t="shared" ref="I111:I117" si="15">$I$108*$F$66-$F$74-SUM($F$83:$F$86)-$F$87-($F$61*C111*$F$78*$F$63/365)-$F$89-($I$108*$F$66*$F$79)-(C111*$F$61)-$F$91-$F$92-$F$93-$F$94</f>
        <v>248.48657524711038</v>
      </c>
      <c r="J111" s="91">
        <f t="shared" ref="J111:J117" si="16">$J$108*$F$66-$F$74-SUM($F$83:$F$86)-$F$87-($F$61*C111*$F$78*$F$63/365)-$F$89-($J$108*$F$66*$F$79)-(C111*$F$61)-$F$91-$F$92-$F$93-$F$94</f>
        <v>315.79217524711044</v>
      </c>
    </row>
    <row r="112" spans="2:10" ht="15.75" x14ac:dyDescent="0.25">
      <c r="B112" s="92">
        <f t="shared" si="9"/>
        <v>1.9999999999999998</v>
      </c>
      <c r="C112" s="92">
        <f>C113-$C$105</f>
        <v>1.6436692810457516</v>
      </c>
      <c r="D112" s="93">
        <f t="shared" si="10"/>
        <v>-149.99594530083473</v>
      </c>
      <c r="E112" s="94">
        <f t="shared" si="11"/>
        <v>-82.690345300834807</v>
      </c>
      <c r="F112" s="94">
        <f t="shared" si="12"/>
        <v>-15.384745300834842</v>
      </c>
      <c r="G112" s="94">
        <f t="shared" si="13"/>
        <v>51.920854699165297</v>
      </c>
      <c r="H112" s="94">
        <f t="shared" si="14"/>
        <v>119.22645469916522</v>
      </c>
      <c r="I112" s="94">
        <f t="shared" si="15"/>
        <v>186.53205469916523</v>
      </c>
      <c r="J112" s="95">
        <f t="shared" si="16"/>
        <v>253.83765469916528</v>
      </c>
    </row>
    <row r="113" spans="2:10" ht="15.75" x14ac:dyDescent="0.25">
      <c r="B113" s="92">
        <f>B114-$C$105</f>
        <v>2.1999999999999997</v>
      </c>
      <c r="C113" s="92">
        <f>C114-$C$105</f>
        <v>1.8436692810457516</v>
      </c>
      <c r="D113" s="93">
        <f t="shared" si="10"/>
        <v>-211.95046584877988</v>
      </c>
      <c r="E113" s="94">
        <f t="shared" si="11"/>
        <v>-144.64486584877997</v>
      </c>
      <c r="F113" s="94">
        <f t="shared" si="12"/>
        <v>-77.339265848779931</v>
      </c>
      <c r="G113" s="94">
        <f t="shared" si="13"/>
        <v>-10.033665848779796</v>
      </c>
      <c r="H113" s="94">
        <f t="shared" si="14"/>
        <v>57.271934151220229</v>
      </c>
      <c r="I113" s="94">
        <f t="shared" si="15"/>
        <v>124.57753415122014</v>
      </c>
      <c r="J113" s="95">
        <f t="shared" si="16"/>
        <v>191.88313415122016</v>
      </c>
    </row>
    <row r="114" spans="2:10" ht="15.75" x14ac:dyDescent="0.25">
      <c r="B114" s="92">
        <f>F49</f>
        <v>2.4</v>
      </c>
      <c r="C114" s="92">
        <f>F58</f>
        <v>2.0436692810457515</v>
      </c>
      <c r="D114" s="93">
        <f t="shared" si="10"/>
        <v>-273.90498639672512</v>
      </c>
      <c r="E114" s="94">
        <f t="shared" si="11"/>
        <v>-206.59938639672524</v>
      </c>
      <c r="F114" s="94">
        <f t="shared" si="12"/>
        <v>-139.29378639672527</v>
      </c>
      <c r="G114" s="96">
        <f t="shared" si="13"/>
        <v>-71.988186396725112</v>
      </c>
      <c r="H114" s="94">
        <f t="shared" si="14"/>
        <v>-4.6825863967250907</v>
      </c>
      <c r="I114" s="94">
        <f t="shared" si="15"/>
        <v>62.623013603274828</v>
      </c>
      <c r="J114" s="95">
        <f t="shared" si="16"/>
        <v>129.92861360327484</v>
      </c>
    </row>
    <row r="115" spans="2:10" ht="15.75" x14ac:dyDescent="0.25">
      <c r="B115" s="92">
        <f>B114+$C$105</f>
        <v>2.6</v>
      </c>
      <c r="C115" s="92">
        <f>C114+$C$105</f>
        <v>2.2436692810457517</v>
      </c>
      <c r="D115" s="93">
        <f t="shared" si="10"/>
        <v>-335.85950694467033</v>
      </c>
      <c r="E115" s="94">
        <f t="shared" si="11"/>
        <v>-268.55390694467042</v>
      </c>
      <c r="F115" s="94">
        <f t="shared" si="12"/>
        <v>-201.24830694467047</v>
      </c>
      <c r="G115" s="94">
        <f t="shared" si="13"/>
        <v>-133.94270694467033</v>
      </c>
      <c r="H115" s="94">
        <f t="shared" si="14"/>
        <v>-66.637106944670421</v>
      </c>
      <c r="I115" s="94">
        <f t="shared" si="15"/>
        <v>0.66849305532961445</v>
      </c>
      <c r="J115" s="95">
        <f t="shared" si="16"/>
        <v>67.974093055329647</v>
      </c>
    </row>
    <row r="116" spans="2:10" ht="15.75" x14ac:dyDescent="0.25">
      <c r="B116" s="92">
        <f t="shared" ref="B116:B117" si="17">B115+$C$105</f>
        <v>2.8000000000000003</v>
      </c>
      <c r="C116" s="92">
        <f>C115+$C$105</f>
        <v>2.4436692810457519</v>
      </c>
      <c r="D116" s="93">
        <f t="shared" si="10"/>
        <v>-397.81402749261559</v>
      </c>
      <c r="E116" s="94">
        <f t="shared" si="11"/>
        <v>-330.50842749261568</v>
      </c>
      <c r="F116" s="94">
        <f t="shared" si="12"/>
        <v>-263.20282749261577</v>
      </c>
      <c r="G116" s="94">
        <f t="shared" si="13"/>
        <v>-195.89722749261566</v>
      </c>
      <c r="H116" s="94">
        <f t="shared" si="14"/>
        <v>-128.59162749261571</v>
      </c>
      <c r="I116" s="94">
        <f t="shared" si="15"/>
        <v>-61.286027492615709</v>
      </c>
      <c r="J116" s="95">
        <f t="shared" si="16"/>
        <v>6.0195725073843196</v>
      </c>
    </row>
    <row r="117" spans="2:10" ht="15.75" x14ac:dyDescent="0.25">
      <c r="B117" s="97">
        <f t="shared" si="17"/>
        <v>3.0000000000000004</v>
      </c>
      <c r="C117" s="97">
        <f>C116+$C$105</f>
        <v>2.6436692810457521</v>
      </c>
      <c r="D117" s="98">
        <f t="shared" si="10"/>
        <v>-459.76854804056086</v>
      </c>
      <c r="E117" s="99">
        <f t="shared" si="11"/>
        <v>-392.46294804056095</v>
      </c>
      <c r="F117" s="99">
        <f t="shared" si="12"/>
        <v>-325.15734804056098</v>
      </c>
      <c r="G117" s="99">
        <f t="shared" si="13"/>
        <v>-257.85174804056089</v>
      </c>
      <c r="H117" s="99">
        <f t="shared" si="14"/>
        <v>-190.54614804056084</v>
      </c>
      <c r="I117" s="99">
        <f t="shared" si="15"/>
        <v>-123.24054804056091</v>
      </c>
      <c r="J117" s="100">
        <f t="shared" si="16"/>
        <v>-55.93494804056089</v>
      </c>
    </row>
    <row r="123" spans="2:10" x14ac:dyDescent="0.2">
      <c r="C123" s="3"/>
      <c r="E123" s="3"/>
      <c r="F123" s="3"/>
    </row>
    <row r="124" spans="2:10" x14ac:dyDescent="0.2">
      <c r="C124" s="3"/>
      <c r="E124" s="3"/>
      <c r="F12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CHUDLEIGH Fred</dc:creator>
  <cp:lastModifiedBy>CHUDLEIGH Fred</cp:lastModifiedBy>
  <dcterms:created xsi:type="dcterms:W3CDTF">2019-03-04T01:32:50Z</dcterms:created>
  <dcterms:modified xsi:type="dcterms:W3CDTF">2019-03-09T05:43:48Z</dcterms:modified>
</cp:coreProperties>
</file>