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udlef\Documents\DCAP2\Response and recovery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J47" i="1" s="1"/>
  <c r="H43" i="1"/>
  <c r="J46" i="1" s="1"/>
  <c r="J40" i="1"/>
  <c r="J38" i="1"/>
  <c r="J37" i="1"/>
  <c r="J36" i="1"/>
  <c r="I33" i="1"/>
  <c r="J33" i="1" s="1"/>
  <c r="O29" i="1"/>
  <c r="O30" i="1" s="1"/>
  <c r="O32" i="1" s="1"/>
  <c r="O26" i="1"/>
  <c r="O25" i="1"/>
  <c r="F21" i="1"/>
  <c r="F25" i="1" s="1"/>
  <c r="F26" i="1" s="1"/>
  <c r="F27" i="1" s="1"/>
  <c r="F28" i="1" s="1"/>
  <c r="I30" i="1" s="1"/>
  <c r="J16" i="1"/>
  <c r="J15" i="1"/>
  <c r="J14" i="1"/>
  <c r="I13" i="1"/>
  <c r="J13" i="1" s="1"/>
  <c r="R11" i="1"/>
  <c r="R12" i="1" s="1"/>
  <c r="O9" i="1"/>
  <c r="R7" i="1"/>
  <c r="O7" i="1"/>
  <c r="O17" i="1" s="1"/>
  <c r="J30" i="1" l="1"/>
  <c r="I35" i="1"/>
  <c r="J35" i="1" s="1"/>
  <c r="F22" i="1"/>
  <c r="F45" i="1" s="1"/>
  <c r="J49" i="1"/>
  <c r="O11" i="1"/>
  <c r="I45" i="1" l="1"/>
  <c r="E57" i="1"/>
  <c r="O13" i="1"/>
  <c r="O18" i="1" s="1"/>
  <c r="J45" i="1" l="1"/>
  <c r="I50" i="1"/>
  <c r="I48" i="1"/>
  <c r="O16" i="1"/>
  <c r="O19" i="1" s="1"/>
  <c r="F9" i="1" s="1"/>
  <c r="I10" i="1" s="1"/>
  <c r="I34" i="1" l="1"/>
  <c r="J34" i="1" s="1"/>
  <c r="J10" i="1"/>
  <c r="J41" i="1" s="1"/>
  <c r="J48" i="1"/>
  <c r="J50" i="1" s="1"/>
  <c r="J52" i="1" s="1"/>
  <c r="I41" i="1" l="1"/>
  <c r="I52" i="1" s="1"/>
  <c r="E54" i="1" s="1"/>
  <c r="E55" i="1" s="1"/>
</calcChain>
</file>

<file path=xl/sharedStrings.xml><?xml version="1.0" encoding="utf-8"?>
<sst xmlns="http://schemas.openxmlformats.org/spreadsheetml/2006/main" count="114" uniqueCount="102">
  <si>
    <t xml:space="preserve">Simple feedlot enterprise analysis </t>
  </si>
  <si>
    <t>Enter data in yellow cells</t>
  </si>
  <si>
    <t>Costs of the enterprise</t>
  </si>
  <si>
    <t>per head</t>
  </si>
  <si>
    <t>Total</t>
  </si>
  <si>
    <t>Number of livestock to be fed</t>
  </si>
  <si>
    <t>Calculate the value of owned stock into the feedlot</t>
  </si>
  <si>
    <t>Transport cost per head calculator</t>
  </si>
  <si>
    <t>What is each animal worth?</t>
  </si>
  <si>
    <t>Steer weight in the paddock</t>
  </si>
  <si>
    <t>Number transported</t>
  </si>
  <si>
    <t>Initial weight</t>
  </si>
  <si>
    <t>kg</t>
  </si>
  <si>
    <t>weight loss to get to sale yards or works</t>
  </si>
  <si>
    <t>Distance (Km)</t>
  </si>
  <si>
    <t>Price  (dollars /kg)</t>
  </si>
  <si>
    <t>Steer weight at saleyards or works</t>
  </si>
  <si>
    <t>$ per Km</t>
  </si>
  <si>
    <t>Cost of stock into the feedlot</t>
  </si>
  <si>
    <t>Sale price at yards or works ($ /kg live)</t>
  </si>
  <si>
    <t>Rate on Truck</t>
  </si>
  <si>
    <t>Gross sale price ($/head)</t>
  </si>
  <si>
    <t>Costs of accessing the livestock</t>
  </si>
  <si>
    <t>Commission &amp; insurance % on sales</t>
  </si>
  <si>
    <t>Per head</t>
  </si>
  <si>
    <t xml:space="preserve">Trucking </t>
  </si>
  <si>
    <t>head/deck</t>
  </si>
  <si>
    <t>kms</t>
  </si>
  <si>
    <t>per km</t>
  </si>
  <si>
    <t>Commission &amp; insurance ($/head)</t>
  </si>
  <si>
    <t>contract buyer costs</t>
  </si>
  <si>
    <t>Transaction levy, yard dues etc</t>
  </si>
  <si>
    <t>Purchase costs i.e. travel to buy stock($/hd)</t>
  </si>
  <si>
    <t>Transport cost ($/head)</t>
  </si>
  <si>
    <t>Induction</t>
  </si>
  <si>
    <t>Steer value net of selling expenses</t>
  </si>
  <si>
    <t>Paddock weight</t>
  </si>
  <si>
    <t xml:space="preserve">What will be the final weight? </t>
  </si>
  <si>
    <t>Selling cost ($ per kg)</t>
  </si>
  <si>
    <t>Transport Loading Density Guide</t>
  </si>
  <si>
    <t>Expected average weight gain per day</t>
  </si>
  <si>
    <t xml:space="preserve">Net value in the paddock ($/kg) </t>
  </si>
  <si>
    <t>Source for loading density: Kaus, Lapworth and Dunn "Marketing Cattle  to South-East Asia"</t>
  </si>
  <si>
    <t>Estimated number of days in the feedlot</t>
  </si>
  <si>
    <t>days</t>
  </si>
  <si>
    <t>Maximum for lighter cattle = 44/deck</t>
  </si>
  <si>
    <t>Total expected gain</t>
  </si>
  <si>
    <t>Average</t>
  </si>
  <si>
    <t>Head Per</t>
  </si>
  <si>
    <t>Final weight</t>
  </si>
  <si>
    <t>Calculate the landed cost of purchased stock</t>
  </si>
  <si>
    <t>Liveweight</t>
  </si>
  <si>
    <t>12.2m deck</t>
  </si>
  <si>
    <t>How much food will be consumed?</t>
  </si>
  <si>
    <t>Travel costs (total costs of finding stock)</t>
  </si>
  <si>
    <t>Average weight during time in the feedlot</t>
  </si>
  <si>
    <t>Number purchased</t>
  </si>
  <si>
    <t xml:space="preserve">Average daily feed consumption @  </t>
  </si>
  <si>
    <t>Travel cost/head</t>
  </si>
  <si>
    <t>Total  consumption</t>
  </si>
  <si>
    <t>Transport cost/head</t>
  </si>
  <si>
    <t>As is feed consumed (90% dry matter)</t>
  </si>
  <si>
    <t>Induction cost/head</t>
  </si>
  <si>
    <t>Feed Cost ($/tonne)</t>
  </si>
  <si>
    <t>Average purchase weight live</t>
  </si>
  <si>
    <t>Total feed cost</t>
  </si>
  <si>
    <t>Buying cost per kg</t>
  </si>
  <si>
    <t>Nominal purchase price/kg</t>
  </si>
  <si>
    <t>What other feedlot costs are there?</t>
  </si>
  <si>
    <t>Landed purchase cost/kg</t>
  </si>
  <si>
    <t>Custom feeding cost /head /day</t>
  </si>
  <si>
    <t xml:space="preserve">Interest </t>
  </si>
  <si>
    <t>on steer cost</t>
  </si>
  <si>
    <t>%</t>
  </si>
  <si>
    <t>on feed cost</t>
  </si>
  <si>
    <t>Treatment Costs</t>
  </si>
  <si>
    <t>Growth promotants</t>
  </si>
  <si>
    <t>Lice treatment</t>
  </si>
  <si>
    <t>Veterinary Costs</t>
  </si>
  <si>
    <t>Losses</t>
  </si>
  <si>
    <t xml:space="preserve">% of opening number </t>
  </si>
  <si>
    <t>Transport to Feedlot</t>
  </si>
  <si>
    <t>Total costs</t>
  </si>
  <si>
    <t>What will be the output of the enterprise?</t>
  </si>
  <si>
    <t>No of steers sold</t>
  </si>
  <si>
    <t>Steer selling price</t>
  </si>
  <si>
    <t>$/kg live   x</t>
  </si>
  <si>
    <t>kg live</t>
  </si>
  <si>
    <t>less</t>
  </si>
  <si>
    <t xml:space="preserve"> selling costs</t>
  </si>
  <si>
    <t>Livestock levy</t>
  </si>
  <si>
    <t>Extra freight</t>
  </si>
  <si>
    <t>Commission on sales</t>
  </si>
  <si>
    <t>Yard fees, other per head selling costs</t>
  </si>
  <si>
    <t>Net income from sales</t>
  </si>
  <si>
    <t>Gross margin</t>
  </si>
  <si>
    <t>Approximate breakeven selling price</t>
  </si>
  <si>
    <t xml:space="preserve"> c/kg live</t>
  </si>
  <si>
    <t>dressing %</t>
  </si>
  <si>
    <t>c/kg dwt</t>
  </si>
  <si>
    <t>Dressed weight at slaughter</t>
  </si>
  <si>
    <t>kilograms dwt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</si>
</sst>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0.00_)"/>
    <numFmt numFmtId="165" formatCode="&quot;$&quot;#,##0\ ;\(&quot;$&quot;#,##0\)"/>
    <numFmt numFmtId="166" formatCode="&quot;$&quot;#,##0.00"/>
    <numFmt numFmtId="167" formatCode="&quot;$&quot;#,##0.00_);\(&quot;$&quot;#,##0.00\)"/>
    <numFmt numFmtId="168" formatCode="&quot;$&quot;#,##0.00\ ;\(&quot;$&quot;#,##0.00\)"/>
    <numFmt numFmtId="169" formatCode="&quot;$&quot;#,##0"/>
    <numFmt numFmtId="170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24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i/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5" fillId="0" borderId="0"/>
    <xf numFmtId="0" fontId="3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horizontal="left"/>
    </xf>
    <xf numFmtId="164" fontId="9" fillId="3" borderId="0" xfId="3" applyFont="1" applyFill="1"/>
    <xf numFmtId="165" fontId="6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9" fillId="5" borderId="1" xfId="0" applyFont="1" applyFill="1" applyBorder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0" fontId="5" fillId="0" borderId="0" xfId="0" applyFont="1"/>
    <xf numFmtId="0" fontId="5" fillId="0" borderId="0" xfId="4" applyFont="1"/>
    <xf numFmtId="0" fontId="5" fillId="0" borderId="1" xfId="0" applyFont="1" applyBorder="1" applyAlignment="1" applyProtection="1">
      <alignment horizontal="left"/>
    </xf>
    <xf numFmtId="3" fontId="5" fillId="6" borderId="3" xfId="4" applyNumberFormat="1" applyFont="1" applyFill="1" applyBorder="1" applyAlignment="1">
      <alignment horizontal="center"/>
    </xf>
    <xf numFmtId="3" fontId="5" fillId="3" borderId="3" xfId="4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0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3" xfId="4" applyFont="1" applyFill="1" applyBorder="1" applyAlignment="1">
      <alignment horizontal="center"/>
    </xf>
    <xf numFmtId="166" fontId="5" fillId="6" borderId="0" xfId="0" applyNumberFormat="1" applyFont="1" applyFill="1" applyAlignment="1">
      <alignment horizontal="center"/>
    </xf>
    <xf numFmtId="8" fontId="5" fillId="3" borderId="3" xfId="4" applyNumberFormat="1" applyFont="1" applyFill="1" applyBorder="1" applyAlignment="1">
      <alignment horizontal="center"/>
    </xf>
    <xf numFmtId="167" fontId="5" fillId="3" borderId="3" xfId="0" applyNumberFormat="1" applyFont="1" applyFill="1" applyBorder="1" applyAlignment="1" applyProtection="1">
      <alignment horizontal="center"/>
      <protection locked="0"/>
    </xf>
    <xf numFmtId="168" fontId="6" fillId="2" borderId="0" xfId="0" applyNumberFormat="1" applyFont="1" applyFill="1" applyAlignment="1">
      <alignment horizontal="right"/>
    </xf>
    <xf numFmtId="169" fontId="5" fillId="6" borderId="3" xfId="4" applyNumberFormat="1" applyFont="1" applyFill="1" applyBorder="1" applyAlignment="1">
      <alignment horizontal="center"/>
    </xf>
    <xf numFmtId="166" fontId="5" fillId="6" borderId="3" xfId="4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8" fontId="5" fillId="3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5" fillId="3" borderId="0" xfId="0" applyNumberFormat="1" applyFont="1" applyFill="1" applyAlignment="1">
      <alignment horizontal="right"/>
    </xf>
    <xf numFmtId="0" fontId="11" fillId="0" borderId="0" xfId="5" applyFont="1" applyProtection="1"/>
    <xf numFmtId="0" fontId="5" fillId="0" borderId="0" xfId="6" applyFont="1" applyProtection="1"/>
    <xf numFmtId="4" fontId="5" fillId="3" borderId="0" xfId="0" applyNumberFormat="1" applyFont="1" applyFill="1" applyAlignment="1" applyProtection="1">
      <alignment horizontal="center"/>
      <protection locked="0"/>
    </xf>
    <xf numFmtId="0" fontId="5" fillId="0" borderId="0" xfId="7" applyFont="1"/>
    <xf numFmtId="0" fontId="5" fillId="0" borderId="0" xfId="7" applyFont="1" applyAlignment="1">
      <alignment horizontal="left"/>
    </xf>
    <xf numFmtId="0" fontId="9" fillId="7" borderId="4" xfId="7" applyFont="1" applyFill="1" applyBorder="1" applyAlignment="1">
      <alignment horizontal="center"/>
    </xf>
    <xf numFmtId="0" fontId="5" fillId="0" borderId="0" xfId="0" applyFont="1" applyProtection="1"/>
    <xf numFmtId="0" fontId="9" fillId="7" borderId="5" xfId="7" applyFont="1" applyFill="1" applyBorder="1" applyAlignment="1">
      <alignment horizontal="center"/>
    </xf>
    <xf numFmtId="0" fontId="5" fillId="0" borderId="5" xfId="7" applyFont="1" applyBorder="1" applyAlignment="1">
      <alignment horizontal="center"/>
    </xf>
    <xf numFmtId="0" fontId="5" fillId="0" borderId="3" xfId="7" applyFont="1" applyBorder="1" applyAlignment="1">
      <alignment horizontal="center"/>
    </xf>
    <xf numFmtId="9" fontId="5" fillId="3" borderId="0" xfId="2" applyFont="1" applyFill="1" applyAlignment="1">
      <alignment horizontal="left"/>
    </xf>
    <xf numFmtId="170" fontId="6" fillId="2" borderId="0" xfId="0" applyNumberFormat="1" applyFont="1" applyFill="1" applyAlignment="1">
      <alignment horizontal="right"/>
    </xf>
    <xf numFmtId="1" fontId="6" fillId="2" borderId="0" xfId="0" applyNumberFormat="1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7" fontId="9" fillId="6" borderId="3" xfId="0" applyNumberFormat="1" applyFont="1" applyFill="1" applyBorder="1" applyAlignment="1" applyProtection="1">
      <alignment horizontal="center"/>
    </xf>
    <xf numFmtId="2" fontId="5" fillId="3" borderId="0" xfId="0" applyNumberFormat="1" applyFont="1" applyFill="1" applyAlignment="1">
      <alignment horizontal="right"/>
    </xf>
    <xf numFmtId="0" fontId="10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44" fontId="6" fillId="2" borderId="6" xfId="1" applyFont="1" applyFill="1" applyBorder="1" applyAlignment="1">
      <alignment horizontal="right"/>
    </xf>
    <xf numFmtId="168" fontId="10" fillId="2" borderId="6" xfId="0" applyNumberFormat="1" applyFont="1" applyFill="1" applyBorder="1" applyAlignment="1">
      <alignment horizontal="right"/>
    </xf>
    <xf numFmtId="165" fontId="10" fillId="2" borderId="6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44" fontId="6" fillId="2" borderId="0" xfId="1" applyFont="1" applyFill="1" applyBorder="1" applyAlignment="1">
      <alignment horizontal="right"/>
    </xf>
    <xf numFmtId="168" fontId="10" fillId="2" borderId="0" xfId="0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right"/>
    </xf>
    <xf numFmtId="166" fontId="5" fillId="3" borderId="0" xfId="0" applyNumberFormat="1" applyFont="1" applyFill="1" applyAlignment="1">
      <alignment horizontal="center"/>
    </xf>
    <xf numFmtId="1" fontId="5" fillId="6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right"/>
    </xf>
    <xf numFmtId="10" fontId="6" fillId="4" borderId="0" xfId="0" applyNumberFormat="1" applyFont="1" applyFill="1" applyAlignment="1">
      <alignment horizontal="left"/>
    </xf>
    <xf numFmtId="166" fontId="5" fillId="0" borderId="0" xfId="0" applyNumberFormat="1" applyFont="1" applyFill="1" applyAlignment="1">
      <alignment horizontal="right"/>
    </xf>
    <xf numFmtId="10" fontId="6" fillId="6" borderId="0" xfId="0" applyNumberFormat="1" applyFont="1" applyFill="1" applyAlignment="1">
      <alignment horizontal="left"/>
    </xf>
    <xf numFmtId="166" fontId="5" fillId="4" borderId="0" xfId="0" applyNumberFormat="1" applyFont="1" applyFill="1" applyAlignment="1">
      <alignment horizontal="right"/>
    </xf>
    <xf numFmtId="8" fontId="10" fillId="2" borderId="6" xfId="0" applyNumberFormat="1" applyFont="1" applyFill="1" applyBorder="1" applyAlignment="1">
      <alignment horizontal="right"/>
    </xf>
    <xf numFmtId="168" fontId="6" fillId="2" borderId="6" xfId="0" applyNumberFormat="1" applyFont="1" applyFill="1" applyBorder="1" applyAlignment="1">
      <alignment horizontal="left"/>
    </xf>
    <xf numFmtId="8" fontId="6" fillId="2" borderId="6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8" fontId="6" fillId="2" borderId="0" xfId="0" applyNumberFormat="1" applyFont="1" applyFill="1" applyBorder="1" applyAlignment="1">
      <alignment horizontal="left"/>
    </xf>
    <xf numFmtId="8" fontId="6" fillId="2" borderId="0" xfId="0" applyNumberFormat="1" applyFont="1" applyFill="1" applyBorder="1" applyAlignment="1">
      <alignment horizontal="right"/>
    </xf>
    <xf numFmtId="0" fontId="6" fillId="2" borderId="0" xfId="0" applyFont="1" applyFill="1" applyAlignment="1" applyProtection="1">
      <alignment horizontal="left"/>
      <protection locked="0"/>
    </xf>
    <xf numFmtId="168" fontId="6" fillId="2" borderId="0" xfId="0" applyNumberFormat="1" applyFont="1" applyFill="1" applyAlignment="1">
      <alignment horizontal="left"/>
    </xf>
    <xf numFmtId="9" fontId="5" fillId="3" borderId="0" xfId="0" applyNumberFormat="1" applyFont="1" applyFill="1" applyAlignment="1">
      <alignment horizontal="right"/>
    </xf>
    <xf numFmtId="7" fontId="6" fillId="2" borderId="0" xfId="0" applyNumberFormat="1" applyFont="1" applyFill="1" applyAlignment="1">
      <alignment horizontal="left"/>
    </xf>
    <xf numFmtId="1" fontId="5" fillId="0" borderId="0" xfId="0" applyNumberFormat="1" applyFont="1" applyAlignment="1">
      <alignment horizontal="left"/>
    </xf>
  </cellXfs>
  <cellStyles count="8">
    <cellStyle name="Arial  - Style1" xfId="6"/>
    <cellStyle name="Bold A - Style3" xfId="5"/>
    <cellStyle name="Currency" xfId="1" builtinId="4"/>
    <cellStyle name="Normal" xfId="0" builtinId="0"/>
    <cellStyle name="Normal 2" xfId="7"/>
    <cellStyle name="Normal 3" xfId="4"/>
    <cellStyle name="Normal_AGIST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zoomScale="75" zoomScaleNormal="75" workbookViewId="0">
      <selection activeCell="R39" sqref="R39"/>
    </sheetView>
  </sheetViews>
  <sheetFormatPr defaultColWidth="8.85546875" defaultRowHeight="15" x14ac:dyDescent="0.2"/>
  <cols>
    <col min="1" max="1" width="8.85546875" style="3"/>
    <col min="2" max="2" width="14.42578125" style="3" customWidth="1"/>
    <col min="3" max="3" width="16" style="3" customWidth="1"/>
    <col min="4" max="4" width="20.28515625" style="3" customWidth="1"/>
    <col min="5" max="5" width="10.42578125" style="3" customWidth="1"/>
    <col min="6" max="6" width="10.85546875" style="3" customWidth="1"/>
    <col min="7" max="7" width="7.140625" style="3" bestFit="1" customWidth="1"/>
    <col min="8" max="8" width="9.42578125" style="3" customWidth="1"/>
    <col min="9" max="9" width="12.28515625" style="3" customWidth="1"/>
    <col min="10" max="10" width="14.5703125" style="58" customWidth="1"/>
    <col min="11" max="13" width="8.85546875" style="3"/>
    <col min="14" max="14" width="38.28515625" style="3" customWidth="1"/>
    <col min="15" max="15" width="17.28515625" style="3" customWidth="1"/>
    <col min="16" max="16" width="8.85546875" style="3"/>
    <col min="17" max="17" width="22.28515625" style="3" customWidth="1"/>
    <col min="18" max="18" width="17.28515625" style="3" customWidth="1"/>
    <col min="19" max="16384" width="8.85546875" style="3"/>
  </cols>
  <sheetData>
    <row r="1" spans="1:18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1"/>
    </row>
    <row r="2" spans="1:18" ht="15.75" x14ac:dyDescent="0.25">
      <c r="A2" s="1"/>
      <c r="B2" s="4" t="s">
        <v>0</v>
      </c>
      <c r="C2" s="1"/>
      <c r="D2" s="1"/>
      <c r="E2" s="1"/>
      <c r="F2" s="5" t="s">
        <v>1</v>
      </c>
      <c r="G2" s="5"/>
      <c r="H2" s="5"/>
      <c r="I2" s="5"/>
      <c r="J2" s="2"/>
      <c r="K2" s="1"/>
    </row>
    <row r="3" spans="1:18" x14ac:dyDescent="0.2">
      <c r="A3" s="1"/>
      <c r="C3" s="1"/>
      <c r="D3" s="1"/>
      <c r="E3" s="1"/>
      <c r="F3" s="1"/>
      <c r="G3" s="1"/>
      <c r="H3" s="1"/>
      <c r="I3" s="2"/>
      <c r="J3" s="6"/>
      <c r="K3" s="1"/>
    </row>
    <row r="4" spans="1:18" ht="15.75" x14ac:dyDescent="0.25">
      <c r="A4" s="1"/>
      <c r="B4" s="4" t="s">
        <v>2</v>
      </c>
      <c r="C4" s="1"/>
      <c r="D4" s="1"/>
      <c r="E4" s="1"/>
      <c r="F4" s="1"/>
      <c r="G4" s="1"/>
      <c r="H4" s="1"/>
      <c r="I4" s="7" t="s">
        <v>3</v>
      </c>
      <c r="J4" s="7" t="s">
        <v>4</v>
      </c>
      <c r="K4" s="1"/>
    </row>
    <row r="5" spans="1:18" ht="15.75" x14ac:dyDescent="0.25">
      <c r="A5" s="1"/>
      <c r="B5" s="8" t="s">
        <v>5</v>
      </c>
      <c r="C5" s="1"/>
      <c r="D5" s="1"/>
      <c r="E5" s="1"/>
      <c r="F5" s="9">
        <v>100</v>
      </c>
      <c r="H5" s="1"/>
      <c r="I5" s="2"/>
      <c r="J5" s="6"/>
      <c r="K5" s="1"/>
      <c r="N5" s="10" t="s">
        <v>6</v>
      </c>
      <c r="O5" s="11"/>
      <c r="P5" s="1"/>
      <c r="Q5" s="10" t="s">
        <v>7</v>
      </c>
      <c r="R5" s="11"/>
    </row>
    <row r="6" spans="1:18" ht="15.75" x14ac:dyDescent="0.25">
      <c r="A6" s="1"/>
      <c r="B6" s="8"/>
      <c r="C6" s="1"/>
      <c r="D6" s="1"/>
      <c r="E6" s="1"/>
      <c r="F6" s="1"/>
      <c r="G6" s="1"/>
      <c r="H6" s="1"/>
      <c r="I6" s="2"/>
      <c r="J6" s="6"/>
      <c r="K6" s="1"/>
      <c r="N6" s="12"/>
      <c r="O6" s="12"/>
      <c r="P6" s="1"/>
      <c r="Q6" s="13"/>
      <c r="R6" s="13"/>
    </row>
    <row r="7" spans="1:18" ht="15.75" x14ac:dyDescent="0.25">
      <c r="A7" s="1"/>
      <c r="B7" s="8" t="s">
        <v>8</v>
      </c>
      <c r="C7" s="1"/>
      <c r="D7" s="1"/>
      <c r="E7" s="1"/>
      <c r="F7" s="1"/>
      <c r="G7" s="1"/>
      <c r="H7" s="1"/>
      <c r="I7" s="2"/>
      <c r="J7" s="6"/>
      <c r="K7" s="1"/>
      <c r="N7" s="14" t="s">
        <v>9</v>
      </c>
      <c r="O7" s="15">
        <f>F8</f>
        <v>460</v>
      </c>
      <c r="P7" s="1"/>
      <c r="Q7" s="14" t="s">
        <v>10</v>
      </c>
      <c r="R7" s="16">
        <f>F5</f>
        <v>100</v>
      </c>
    </row>
    <row r="8" spans="1:18" x14ac:dyDescent="0.2">
      <c r="A8" s="1"/>
      <c r="B8" s="1" t="s">
        <v>11</v>
      </c>
      <c r="C8" s="1"/>
      <c r="D8" s="1"/>
      <c r="E8" s="1"/>
      <c r="F8" s="17">
        <v>460</v>
      </c>
      <c r="G8" s="1" t="s">
        <v>12</v>
      </c>
      <c r="H8" s="1"/>
      <c r="I8" s="2"/>
      <c r="J8" s="6"/>
      <c r="K8" s="1"/>
      <c r="N8" s="14" t="s">
        <v>13</v>
      </c>
      <c r="O8" s="18">
        <v>0.05</v>
      </c>
      <c r="P8" s="1"/>
      <c r="Q8" s="14" t="s">
        <v>14</v>
      </c>
      <c r="R8" s="19">
        <v>450</v>
      </c>
    </row>
    <row r="9" spans="1:18" x14ac:dyDescent="0.2">
      <c r="A9" s="1"/>
      <c r="B9" s="1" t="s">
        <v>15</v>
      </c>
      <c r="C9" s="1"/>
      <c r="D9" s="1"/>
      <c r="E9" s="1"/>
      <c r="F9" s="20">
        <f>O19</f>
        <v>2.4427304347826087</v>
      </c>
      <c r="G9" s="1"/>
      <c r="H9" s="1"/>
      <c r="I9" s="2"/>
      <c r="J9" s="6"/>
      <c r="K9" s="1"/>
      <c r="N9" s="14" t="s">
        <v>16</v>
      </c>
      <c r="O9" s="15">
        <f t="shared" ref="O9" si="0">O7*(1-O8)</f>
        <v>437</v>
      </c>
      <c r="P9" s="1"/>
      <c r="Q9" s="14" t="s">
        <v>17</v>
      </c>
      <c r="R9" s="21">
        <v>2</v>
      </c>
    </row>
    <row r="10" spans="1:18" ht="15.75" x14ac:dyDescent="0.25">
      <c r="A10" s="1"/>
      <c r="B10" s="8" t="s">
        <v>18</v>
      </c>
      <c r="D10" s="1"/>
      <c r="E10" s="1"/>
      <c r="F10" s="1"/>
      <c r="H10" s="1"/>
      <c r="I10" s="6">
        <f>F8*F9</f>
        <v>1123.6559999999999</v>
      </c>
      <c r="J10" s="6">
        <f>I10*$F$5</f>
        <v>112365.59999999999</v>
      </c>
      <c r="K10" s="1"/>
      <c r="N10" s="14" t="s">
        <v>19</v>
      </c>
      <c r="O10" s="22">
        <v>2.8</v>
      </c>
      <c r="P10" s="1"/>
      <c r="Q10" s="14" t="s">
        <v>20</v>
      </c>
      <c r="R10" s="19">
        <v>25</v>
      </c>
    </row>
    <row r="11" spans="1:18" x14ac:dyDescent="0.2">
      <c r="A11" s="1"/>
      <c r="B11" s="1"/>
      <c r="C11" s="1"/>
      <c r="D11" s="1"/>
      <c r="E11" s="1"/>
      <c r="F11" s="1"/>
      <c r="H11" s="1"/>
      <c r="I11" s="23"/>
      <c r="J11" s="6"/>
      <c r="K11" s="1"/>
      <c r="N11" s="14" t="s">
        <v>21</v>
      </c>
      <c r="O11" s="24">
        <f t="shared" ref="O11" si="1">O10*O9</f>
        <v>1223.5999999999999</v>
      </c>
      <c r="P11" s="1"/>
      <c r="Q11" s="14" t="s">
        <v>4</v>
      </c>
      <c r="R11" s="24">
        <f>IF(R7&gt;0,R7*R8*R9/R10,0)</f>
        <v>3600</v>
      </c>
    </row>
    <row r="12" spans="1:18" ht="15.75" x14ac:dyDescent="0.25">
      <c r="A12" s="1"/>
      <c r="B12" s="8" t="s">
        <v>22</v>
      </c>
      <c r="C12" s="1"/>
      <c r="D12" s="1"/>
      <c r="E12" s="1"/>
      <c r="F12" s="1"/>
      <c r="G12" s="1"/>
      <c r="H12" s="1"/>
      <c r="I12" s="2"/>
      <c r="J12" s="6"/>
      <c r="K12" s="1"/>
      <c r="N12" s="14" t="s">
        <v>23</v>
      </c>
      <c r="O12" s="18">
        <v>0.04</v>
      </c>
      <c r="P12" s="1"/>
      <c r="Q12" s="14" t="s">
        <v>24</v>
      </c>
      <c r="R12" s="25">
        <f>IF(R7&gt;0,R11/R7,0)</f>
        <v>36</v>
      </c>
    </row>
    <row r="13" spans="1:18" x14ac:dyDescent="0.2">
      <c r="A13" s="1"/>
      <c r="B13" s="1" t="s">
        <v>25</v>
      </c>
      <c r="C13" s="17">
        <v>25</v>
      </c>
      <c r="D13" s="1" t="s">
        <v>26</v>
      </c>
      <c r="E13" s="26">
        <v>450</v>
      </c>
      <c r="F13" s="1" t="s">
        <v>27</v>
      </c>
      <c r="G13" s="27">
        <v>2</v>
      </c>
      <c r="H13" s="1" t="s">
        <v>28</v>
      </c>
      <c r="I13" s="23">
        <f>E13*G13/C13</f>
        <v>36</v>
      </c>
      <c r="J13" s="6">
        <f>I13*$F$5</f>
        <v>3600</v>
      </c>
      <c r="K13" s="1"/>
      <c r="N13" s="14" t="s">
        <v>29</v>
      </c>
      <c r="O13" s="25">
        <f t="shared" ref="O13" si="2">O12*O11</f>
        <v>48.943999999999996</v>
      </c>
      <c r="P13" s="1"/>
      <c r="Q13" s="1"/>
      <c r="R13" s="1"/>
    </row>
    <row r="14" spans="1:18" x14ac:dyDescent="0.2">
      <c r="A14" s="1"/>
      <c r="B14" s="1"/>
      <c r="C14" s="28" t="s">
        <v>30</v>
      </c>
      <c r="D14" s="29"/>
      <c r="E14" s="1"/>
      <c r="F14" s="1"/>
      <c r="G14" s="1"/>
      <c r="H14" s="1"/>
      <c r="I14" s="30">
        <v>0</v>
      </c>
      <c r="J14" s="6">
        <f>I14*$F$5</f>
        <v>0</v>
      </c>
      <c r="K14" s="1"/>
      <c r="N14" s="14" t="s">
        <v>31</v>
      </c>
      <c r="O14" s="22">
        <v>15</v>
      </c>
      <c r="P14" s="1"/>
      <c r="Q14" s="1"/>
      <c r="R14" s="1"/>
    </row>
    <row r="15" spans="1:18" x14ac:dyDescent="0.2">
      <c r="A15" s="1"/>
      <c r="B15" s="1"/>
      <c r="C15" s="28" t="s">
        <v>32</v>
      </c>
      <c r="D15" s="29"/>
      <c r="E15" s="1"/>
      <c r="F15" s="1"/>
      <c r="G15" s="1"/>
      <c r="H15" s="1"/>
      <c r="I15" s="30">
        <v>0</v>
      </c>
      <c r="J15" s="6">
        <f>I15*$F$5</f>
        <v>0</v>
      </c>
      <c r="K15" s="1"/>
      <c r="N15" s="14" t="s">
        <v>33</v>
      </c>
      <c r="O15" s="22">
        <v>36</v>
      </c>
      <c r="P15" s="1"/>
      <c r="Q15" s="1"/>
      <c r="R15" s="1"/>
    </row>
    <row r="16" spans="1:18" x14ac:dyDescent="0.2">
      <c r="A16" s="1"/>
      <c r="B16" s="1"/>
      <c r="C16" s="28" t="s">
        <v>34</v>
      </c>
      <c r="D16" s="29"/>
      <c r="E16" s="1"/>
      <c r="F16" s="1"/>
      <c r="G16" s="1"/>
      <c r="H16" s="1"/>
      <c r="I16" s="30">
        <v>10</v>
      </c>
      <c r="J16" s="6">
        <f>I16*$F$5</f>
        <v>1000</v>
      </c>
      <c r="K16" s="1"/>
      <c r="N16" s="14" t="s">
        <v>35</v>
      </c>
      <c r="O16" s="25">
        <f t="shared" ref="O16" si="3">O11-O13-O14-O15</f>
        <v>1123.6559999999999</v>
      </c>
      <c r="P16" s="1"/>
      <c r="Q16" s="1"/>
      <c r="R16" s="1"/>
    </row>
    <row r="17" spans="1:18" x14ac:dyDescent="0.2">
      <c r="A17" s="1"/>
      <c r="B17" s="1"/>
      <c r="C17" s="1"/>
      <c r="D17" s="1"/>
      <c r="E17" s="1"/>
      <c r="F17" s="1"/>
      <c r="H17" s="1"/>
      <c r="I17" s="23"/>
      <c r="J17" s="6"/>
      <c r="K17" s="1"/>
      <c r="N17" s="14" t="s">
        <v>36</v>
      </c>
      <c r="O17" s="15">
        <f t="shared" ref="O17" si="4">O7</f>
        <v>460</v>
      </c>
      <c r="P17" s="1"/>
      <c r="Q17" s="1"/>
      <c r="R17" s="1"/>
    </row>
    <row r="18" spans="1:18" ht="15.75" x14ac:dyDescent="0.25">
      <c r="A18" s="1"/>
      <c r="B18" s="8" t="s">
        <v>37</v>
      </c>
      <c r="C18" s="1"/>
      <c r="D18" s="1"/>
      <c r="E18" s="1"/>
      <c r="F18" s="1"/>
      <c r="G18" s="1"/>
      <c r="H18" s="1"/>
      <c r="I18" s="2"/>
      <c r="J18" s="6"/>
      <c r="K18" s="1"/>
      <c r="N18" s="14" t="s">
        <v>38</v>
      </c>
      <c r="O18" s="25">
        <f t="shared" ref="O18" si="5">IF(O9&gt;0,(O13+O14+O15)/O9,0)</f>
        <v>0.22870480549199082</v>
      </c>
      <c r="P18" s="1"/>
      <c r="Q18" s="31" t="s">
        <v>39</v>
      </c>
      <c r="R18" s="32"/>
    </row>
    <row r="19" spans="1:18" x14ac:dyDescent="0.2">
      <c r="A19" s="1"/>
      <c r="B19" s="1" t="s">
        <v>40</v>
      </c>
      <c r="C19" s="1"/>
      <c r="D19" s="1"/>
      <c r="E19" s="1"/>
      <c r="F19" s="33">
        <v>1.6</v>
      </c>
      <c r="G19" s="1" t="s">
        <v>12</v>
      </c>
      <c r="H19" s="1"/>
      <c r="I19" s="2"/>
      <c r="J19" s="6"/>
      <c r="K19" s="1"/>
      <c r="N19" s="14" t="s">
        <v>41</v>
      </c>
      <c r="O19" s="25">
        <f t="shared" ref="O19" si="6">IF(O17&gt;0,O16/O17,0)</f>
        <v>2.4427304347826087</v>
      </c>
      <c r="P19" s="1"/>
      <c r="Q19" s="34" t="s">
        <v>42</v>
      </c>
      <c r="R19" s="34"/>
    </row>
    <row r="20" spans="1:18" x14ac:dyDescent="0.2">
      <c r="A20" s="1"/>
      <c r="B20" s="1" t="s">
        <v>43</v>
      </c>
      <c r="C20" s="1"/>
      <c r="D20" s="1"/>
      <c r="E20" s="1"/>
      <c r="F20" s="17">
        <v>100</v>
      </c>
      <c r="G20" s="1" t="s">
        <v>44</v>
      </c>
      <c r="H20" s="1"/>
      <c r="I20" s="2"/>
      <c r="J20" s="6"/>
      <c r="K20" s="1"/>
      <c r="N20" s="1"/>
      <c r="O20" s="1"/>
      <c r="P20" s="1"/>
      <c r="Q20" s="35" t="s">
        <v>45</v>
      </c>
      <c r="R20" s="13"/>
    </row>
    <row r="21" spans="1:18" ht="15.75" x14ac:dyDescent="0.25">
      <c r="A21" s="1"/>
      <c r="B21" s="1" t="s">
        <v>46</v>
      </c>
      <c r="D21" s="1"/>
      <c r="E21" s="1"/>
      <c r="F21" s="2">
        <f>F19*F20</f>
        <v>160</v>
      </c>
      <c r="G21" s="1" t="s">
        <v>12</v>
      </c>
      <c r="I21" s="2"/>
      <c r="J21" s="6"/>
      <c r="K21" s="1"/>
      <c r="N21" s="1"/>
      <c r="O21" s="1"/>
      <c r="P21" s="1"/>
      <c r="Q21" s="36" t="s">
        <v>47</v>
      </c>
      <c r="R21" s="36" t="s">
        <v>48</v>
      </c>
    </row>
    <row r="22" spans="1:18" ht="15.75" x14ac:dyDescent="0.25">
      <c r="A22" s="1"/>
      <c r="B22" s="8" t="s">
        <v>49</v>
      </c>
      <c r="D22" s="1"/>
      <c r="E22" s="1"/>
      <c r="F22" s="2">
        <f>F8+F21</f>
        <v>620</v>
      </c>
      <c r="G22" s="1" t="s">
        <v>12</v>
      </c>
      <c r="I22" s="2"/>
      <c r="J22" s="6"/>
      <c r="K22" s="1"/>
      <c r="N22" s="10" t="s">
        <v>50</v>
      </c>
      <c r="O22" s="11"/>
      <c r="P22" s="37"/>
      <c r="Q22" s="38" t="s">
        <v>51</v>
      </c>
      <c r="R22" s="38" t="s">
        <v>52</v>
      </c>
    </row>
    <row r="23" spans="1:18" x14ac:dyDescent="0.2">
      <c r="A23" s="1"/>
      <c r="B23" s="1"/>
      <c r="D23" s="1"/>
      <c r="E23" s="1"/>
      <c r="F23" s="1"/>
      <c r="G23" s="2"/>
      <c r="H23" s="1"/>
      <c r="I23" s="2"/>
      <c r="J23" s="6"/>
      <c r="K23" s="1"/>
      <c r="N23" s="37"/>
      <c r="O23" s="37"/>
      <c r="P23" s="37"/>
      <c r="Q23" s="39">
        <v>250</v>
      </c>
      <c r="R23" s="39">
        <v>38</v>
      </c>
    </row>
    <row r="24" spans="1:18" ht="15.75" x14ac:dyDescent="0.25">
      <c r="A24" s="1"/>
      <c r="B24" s="8" t="s">
        <v>53</v>
      </c>
      <c r="C24" s="1"/>
      <c r="D24" s="1"/>
      <c r="E24" s="1"/>
      <c r="F24" s="1"/>
      <c r="G24" s="1"/>
      <c r="H24" s="1"/>
      <c r="I24" s="2"/>
      <c r="J24" s="6"/>
      <c r="K24" s="1"/>
      <c r="N24" s="14" t="s">
        <v>54</v>
      </c>
      <c r="O24" s="22">
        <v>150</v>
      </c>
      <c r="P24" s="37"/>
      <c r="Q24" s="40">
        <v>300</v>
      </c>
      <c r="R24" s="40">
        <v>34</v>
      </c>
    </row>
    <row r="25" spans="1:18" x14ac:dyDescent="0.2">
      <c r="A25" s="1"/>
      <c r="B25" s="1" t="s">
        <v>55</v>
      </c>
      <c r="C25" s="1"/>
      <c r="D25" s="1"/>
      <c r="E25" s="1"/>
      <c r="F25" s="2">
        <f>F8+F21/2</f>
        <v>540</v>
      </c>
      <c r="G25" s="1" t="s">
        <v>12</v>
      </c>
      <c r="I25" s="2"/>
      <c r="J25" s="6"/>
      <c r="K25" s="1"/>
      <c r="N25" s="14" t="s">
        <v>56</v>
      </c>
      <c r="O25" s="15">
        <f>F5</f>
        <v>100</v>
      </c>
      <c r="P25" s="1"/>
      <c r="Q25" s="40">
        <v>350</v>
      </c>
      <c r="R25" s="40">
        <v>30</v>
      </c>
    </row>
    <row r="26" spans="1:18" x14ac:dyDescent="0.2">
      <c r="A26" s="1"/>
      <c r="B26" s="1" t="s">
        <v>57</v>
      </c>
      <c r="C26" s="1"/>
      <c r="D26" s="1"/>
      <c r="E26" s="41">
        <v>2.5000000000000001E-2</v>
      </c>
      <c r="F26" s="42">
        <f>F25*E26</f>
        <v>13.5</v>
      </c>
      <c r="G26" s="1" t="s">
        <v>12</v>
      </c>
      <c r="I26" s="2"/>
      <c r="J26" s="6"/>
      <c r="K26" s="1"/>
      <c r="N26" s="14" t="s">
        <v>58</v>
      </c>
      <c r="O26" s="25">
        <f>IF(O25=0,0,O24/O25)</f>
        <v>1.5</v>
      </c>
      <c r="P26" s="1"/>
      <c r="Q26" s="40">
        <v>400</v>
      </c>
      <c r="R26" s="40">
        <v>28</v>
      </c>
    </row>
    <row r="27" spans="1:18" x14ac:dyDescent="0.2">
      <c r="A27" s="1"/>
      <c r="B27" s="1" t="s">
        <v>59</v>
      </c>
      <c r="C27" s="1"/>
      <c r="D27" s="1"/>
      <c r="E27" s="1"/>
      <c r="F27" s="43">
        <f>F26*F20</f>
        <v>1350</v>
      </c>
      <c r="G27" s="1" t="s">
        <v>12</v>
      </c>
      <c r="I27" s="2"/>
      <c r="J27" s="6"/>
      <c r="K27" s="1"/>
      <c r="N27" s="14" t="s">
        <v>60</v>
      </c>
      <c r="O27" s="22">
        <v>0</v>
      </c>
      <c r="P27" s="1"/>
      <c r="Q27" s="40">
        <v>450</v>
      </c>
      <c r="R27" s="40">
        <v>26</v>
      </c>
    </row>
    <row r="28" spans="1:18" x14ac:dyDescent="0.2">
      <c r="A28" s="1"/>
      <c r="B28" s="1" t="s">
        <v>61</v>
      </c>
      <c r="C28" s="1"/>
      <c r="D28" s="1"/>
      <c r="E28" s="1"/>
      <c r="F28" s="43">
        <f>ROUND(F27*100/90,0)</f>
        <v>1500</v>
      </c>
      <c r="G28" s="1"/>
      <c r="I28" s="2"/>
      <c r="J28" s="6"/>
      <c r="K28" s="1"/>
      <c r="N28" s="14" t="s">
        <v>62</v>
      </c>
      <c r="O28" s="22">
        <v>10</v>
      </c>
      <c r="P28" s="1"/>
      <c r="Q28" s="40">
        <v>500</v>
      </c>
      <c r="R28" s="40">
        <v>24</v>
      </c>
    </row>
    <row r="29" spans="1:18" x14ac:dyDescent="0.2">
      <c r="A29" s="1"/>
      <c r="B29" s="1" t="s">
        <v>63</v>
      </c>
      <c r="C29" s="1"/>
      <c r="D29" s="1"/>
      <c r="E29" s="44">
        <v>320</v>
      </c>
      <c r="F29" s="1"/>
      <c r="G29" s="1"/>
      <c r="H29" s="1"/>
      <c r="I29" s="2"/>
      <c r="J29" s="6"/>
      <c r="K29" s="1"/>
      <c r="N29" s="14" t="s">
        <v>64</v>
      </c>
      <c r="O29" s="15">
        <f>F8</f>
        <v>460</v>
      </c>
      <c r="P29" s="1"/>
      <c r="Q29" s="40">
        <v>550</v>
      </c>
      <c r="R29" s="40">
        <v>22</v>
      </c>
    </row>
    <row r="30" spans="1:18" ht="15.75" x14ac:dyDescent="0.25">
      <c r="A30" s="1"/>
      <c r="B30" s="8" t="s">
        <v>65</v>
      </c>
      <c r="C30" s="1"/>
      <c r="D30" s="1"/>
      <c r="E30" s="1"/>
      <c r="F30" s="1"/>
      <c r="H30" s="1"/>
      <c r="I30" s="23">
        <f>F28*E29/1000</f>
        <v>480</v>
      </c>
      <c r="J30" s="6">
        <f>I30*$F$5</f>
        <v>48000</v>
      </c>
      <c r="K30" s="1"/>
      <c r="N30" s="14" t="s">
        <v>66</v>
      </c>
      <c r="O30" s="25">
        <f>IF(O29=0,0,(O26+O27+O28)/O29)</f>
        <v>2.5000000000000001E-2</v>
      </c>
      <c r="P30" s="1"/>
      <c r="Q30" s="40">
        <v>600</v>
      </c>
      <c r="R30" s="40">
        <v>20</v>
      </c>
    </row>
    <row r="31" spans="1:18" x14ac:dyDescent="0.2">
      <c r="A31" s="1"/>
      <c r="B31" s="1"/>
      <c r="C31" s="1"/>
      <c r="D31" s="1"/>
      <c r="E31" s="1"/>
      <c r="F31" s="1"/>
      <c r="H31" s="1"/>
      <c r="I31" s="23"/>
      <c r="J31" s="6"/>
      <c r="K31" s="1"/>
      <c r="N31" s="14" t="s">
        <v>67</v>
      </c>
      <c r="O31" s="22">
        <v>3.2</v>
      </c>
      <c r="P31" s="1"/>
      <c r="Q31" s="40">
        <v>650</v>
      </c>
      <c r="R31" s="40">
        <v>18</v>
      </c>
    </row>
    <row r="32" spans="1:18" ht="15.75" x14ac:dyDescent="0.25">
      <c r="A32" s="1"/>
      <c r="B32" s="8" t="s">
        <v>68</v>
      </c>
      <c r="C32" s="1"/>
      <c r="D32" s="1"/>
      <c r="E32" s="1"/>
      <c r="F32" s="1"/>
      <c r="G32" s="1"/>
      <c r="H32" s="1"/>
      <c r="I32" s="2"/>
      <c r="J32" s="6"/>
      <c r="K32" s="1"/>
      <c r="N32" s="14" t="s">
        <v>69</v>
      </c>
      <c r="O32" s="45">
        <f>O30+O31</f>
        <v>3.2250000000000001</v>
      </c>
      <c r="P32" s="1"/>
      <c r="Q32" s="1"/>
      <c r="R32" s="1"/>
    </row>
    <row r="33" spans="1:18" x14ac:dyDescent="0.2">
      <c r="A33" s="1"/>
      <c r="B33" s="1" t="s">
        <v>70</v>
      </c>
      <c r="C33" s="1"/>
      <c r="D33" s="1"/>
      <c r="E33" s="44">
        <v>0</v>
      </c>
      <c r="G33" s="1"/>
      <c r="H33" s="1"/>
      <c r="I33" s="23">
        <f>F20*E33</f>
        <v>0</v>
      </c>
      <c r="J33" s="6">
        <f t="shared" ref="J33:J38" si="7">I33*$F$5</f>
        <v>0</v>
      </c>
      <c r="K33" s="1"/>
      <c r="N33" s="1"/>
      <c r="O33" s="1"/>
      <c r="P33" s="1"/>
      <c r="Q33" s="1"/>
      <c r="R33" s="1"/>
    </row>
    <row r="34" spans="1:18" x14ac:dyDescent="0.2">
      <c r="A34" s="1"/>
      <c r="B34" s="1" t="s">
        <v>71</v>
      </c>
      <c r="C34" s="1" t="s">
        <v>72</v>
      </c>
      <c r="E34" s="46">
        <v>5</v>
      </c>
      <c r="F34" s="1" t="s">
        <v>73</v>
      </c>
      <c r="G34" s="1"/>
      <c r="H34" s="1"/>
      <c r="I34" s="23">
        <f>I10*E34/100/365*F20</f>
        <v>15.392547945205479</v>
      </c>
      <c r="J34" s="6">
        <f t="shared" si="7"/>
        <v>1539.2547945205479</v>
      </c>
      <c r="K34" s="1"/>
    </row>
    <row r="35" spans="1:18" x14ac:dyDescent="0.2">
      <c r="A35" s="1"/>
      <c r="B35" s="1"/>
      <c r="C35" s="1" t="s">
        <v>74</v>
      </c>
      <c r="E35" s="46">
        <v>5</v>
      </c>
      <c r="F35" s="1" t="s">
        <v>73</v>
      </c>
      <c r="G35" s="1"/>
      <c r="H35" s="1"/>
      <c r="I35" s="23">
        <f>(I30*E35/100/365*F20)/2</f>
        <v>3.2876712328767121</v>
      </c>
      <c r="J35" s="6">
        <f t="shared" si="7"/>
        <v>328.76712328767121</v>
      </c>
      <c r="K35" s="1"/>
    </row>
    <row r="36" spans="1:18" x14ac:dyDescent="0.2">
      <c r="A36" s="1"/>
      <c r="B36" s="1" t="s">
        <v>75</v>
      </c>
      <c r="C36" s="1"/>
      <c r="D36" s="29" t="s">
        <v>76</v>
      </c>
      <c r="E36" s="29"/>
      <c r="G36" s="1"/>
      <c r="H36" s="1"/>
      <c r="I36" s="44">
        <v>2</v>
      </c>
      <c r="J36" s="6">
        <f t="shared" si="7"/>
        <v>200</v>
      </c>
      <c r="K36" s="1"/>
    </row>
    <row r="37" spans="1:18" x14ac:dyDescent="0.2">
      <c r="A37" s="1"/>
      <c r="B37" s="1"/>
      <c r="C37" s="1"/>
      <c r="D37" s="29" t="s">
        <v>77</v>
      </c>
      <c r="E37" s="29"/>
      <c r="G37" s="1"/>
      <c r="H37" s="1"/>
      <c r="I37" s="44">
        <v>0</v>
      </c>
      <c r="J37" s="6">
        <f t="shared" si="7"/>
        <v>0</v>
      </c>
      <c r="K37" s="1"/>
    </row>
    <row r="38" spans="1:18" x14ac:dyDescent="0.2">
      <c r="A38" s="1"/>
      <c r="B38" s="1"/>
      <c r="C38" s="1"/>
      <c r="D38" s="29" t="s">
        <v>78</v>
      </c>
      <c r="E38" s="29"/>
      <c r="G38" s="1"/>
      <c r="H38" s="1"/>
      <c r="I38" s="44">
        <v>5</v>
      </c>
      <c r="J38" s="6">
        <f t="shared" si="7"/>
        <v>500</v>
      </c>
      <c r="K38" s="1"/>
    </row>
    <row r="39" spans="1:18" x14ac:dyDescent="0.2">
      <c r="A39" s="1"/>
      <c r="B39" s="1" t="s">
        <v>79</v>
      </c>
      <c r="C39" s="1" t="s">
        <v>80</v>
      </c>
      <c r="E39" s="46">
        <v>0</v>
      </c>
      <c r="F39" s="1" t="s">
        <v>73</v>
      </c>
      <c r="G39" s="1"/>
      <c r="H39" s="1"/>
      <c r="I39" s="23"/>
      <c r="J39" s="6"/>
      <c r="K39" s="1"/>
    </row>
    <row r="40" spans="1:18" x14ac:dyDescent="0.2">
      <c r="A40" s="1"/>
      <c r="B40" s="1" t="s">
        <v>81</v>
      </c>
      <c r="C40" s="1"/>
      <c r="D40" s="1"/>
      <c r="E40" s="1"/>
      <c r="G40" s="1"/>
      <c r="H40" s="1"/>
      <c r="I40" s="44">
        <v>0</v>
      </c>
      <c r="J40" s="6">
        <f>I40*$F$5</f>
        <v>0</v>
      </c>
      <c r="K40" s="1"/>
    </row>
    <row r="41" spans="1:18" ht="15.75" x14ac:dyDescent="0.25">
      <c r="A41" s="1"/>
      <c r="B41" s="47" t="s">
        <v>82</v>
      </c>
      <c r="C41" s="48"/>
      <c r="D41" s="48"/>
      <c r="E41" s="47"/>
      <c r="F41" s="48"/>
      <c r="G41" s="49"/>
      <c r="H41" s="48"/>
      <c r="I41" s="50">
        <f>SUM(I10:I40)</f>
        <v>1675.336219178082</v>
      </c>
      <c r="J41" s="51">
        <f>SUM(J10:J40)</f>
        <v>167533.6219178082</v>
      </c>
      <c r="K41" s="1"/>
    </row>
    <row r="42" spans="1:18" ht="15.75" x14ac:dyDescent="0.25">
      <c r="A42" s="1"/>
      <c r="B42" s="52"/>
      <c r="C42" s="53"/>
      <c r="D42" s="53"/>
      <c r="E42" s="52"/>
      <c r="F42" s="53"/>
      <c r="G42" s="54"/>
      <c r="H42" s="53"/>
      <c r="I42" s="55"/>
      <c r="J42" s="56"/>
      <c r="K42" s="1"/>
    </row>
    <row r="43" spans="1:18" ht="15.75" x14ac:dyDescent="0.25">
      <c r="A43" s="1"/>
      <c r="B43" s="8" t="s">
        <v>83</v>
      </c>
      <c r="C43" s="1"/>
      <c r="D43" s="1"/>
      <c r="E43" s="1"/>
      <c r="F43" s="1" t="s">
        <v>84</v>
      </c>
      <c r="H43" s="57">
        <f>F5*(100-E39)/100</f>
        <v>100</v>
      </c>
      <c r="K43" s="1"/>
    </row>
    <row r="44" spans="1:18" x14ac:dyDescent="0.2">
      <c r="A44" s="1"/>
      <c r="B44" s="1"/>
      <c r="C44" s="1"/>
      <c r="D44" s="1"/>
      <c r="E44" s="1"/>
      <c r="F44" s="1"/>
      <c r="G44" s="1"/>
      <c r="H44" s="1"/>
      <c r="I44" s="2"/>
      <c r="J44" s="2"/>
      <c r="K44" s="1"/>
    </row>
    <row r="45" spans="1:18" x14ac:dyDescent="0.2">
      <c r="A45" s="1"/>
      <c r="B45" s="1" t="s">
        <v>85</v>
      </c>
      <c r="C45" s="1"/>
      <c r="D45" s="59">
        <v>2.6</v>
      </c>
      <c r="E45" s="1" t="s">
        <v>86</v>
      </c>
      <c r="F45" s="60">
        <f>F22</f>
        <v>620</v>
      </c>
      <c r="G45" s="1" t="s">
        <v>87</v>
      </c>
      <c r="H45" s="1"/>
      <c r="I45" s="23">
        <f>ROUND(F45*D45,2)</f>
        <v>1612</v>
      </c>
      <c r="J45" s="6">
        <f>I45*$H$43</f>
        <v>161200</v>
      </c>
      <c r="K45" s="1"/>
    </row>
    <row r="46" spans="1:18" x14ac:dyDescent="0.2">
      <c r="A46" s="1"/>
      <c r="B46" s="61" t="s">
        <v>88</v>
      </c>
      <c r="C46" s="1"/>
      <c r="D46" s="1" t="s">
        <v>89</v>
      </c>
      <c r="E46" s="1"/>
      <c r="F46" s="1" t="s">
        <v>90</v>
      </c>
      <c r="G46" s="1"/>
      <c r="H46" s="1"/>
      <c r="I46" s="44">
        <v>5</v>
      </c>
      <c r="J46" s="6">
        <f>I46*$H$43</f>
        <v>500</v>
      </c>
      <c r="K46" s="1"/>
    </row>
    <row r="47" spans="1:18" x14ac:dyDescent="0.2">
      <c r="A47" s="1"/>
      <c r="B47" s="1" t="s">
        <v>91</v>
      </c>
      <c r="C47" s="17">
        <v>22</v>
      </c>
      <c r="D47" s="1" t="s">
        <v>26</v>
      </c>
      <c r="E47" s="26">
        <v>250</v>
      </c>
      <c r="F47" s="1" t="s">
        <v>27</v>
      </c>
      <c r="G47" s="27">
        <v>2</v>
      </c>
      <c r="H47" s="1" t="s">
        <v>28</v>
      </c>
      <c r="I47" s="23">
        <f>E47*G47/C47</f>
        <v>22.727272727272727</v>
      </c>
      <c r="J47" s="6">
        <f>I47*$H$43</f>
        <v>2272.7272727272725</v>
      </c>
      <c r="K47" s="1"/>
    </row>
    <row r="48" spans="1:18" x14ac:dyDescent="0.2">
      <c r="A48" s="1"/>
      <c r="B48" s="1" t="s">
        <v>92</v>
      </c>
      <c r="C48" s="1"/>
      <c r="D48" s="62">
        <v>0</v>
      </c>
      <c r="G48" s="1"/>
      <c r="H48" s="1"/>
      <c r="I48" s="63">
        <f>I45*D48</f>
        <v>0</v>
      </c>
      <c r="J48" s="6">
        <f>J45*D48</f>
        <v>0</v>
      </c>
      <c r="K48" s="1"/>
    </row>
    <row r="49" spans="1:11" x14ac:dyDescent="0.2">
      <c r="A49" s="1"/>
      <c r="B49" s="1" t="s">
        <v>93</v>
      </c>
      <c r="C49" s="1"/>
      <c r="D49" s="1"/>
      <c r="E49" s="1"/>
      <c r="F49" s="64"/>
      <c r="G49" s="1"/>
      <c r="H49" s="1"/>
      <c r="I49" s="65"/>
      <c r="J49" s="6">
        <f>I49*H43</f>
        <v>0</v>
      </c>
      <c r="K49" s="1"/>
    </row>
    <row r="50" spans="1:11" ht="15.75" x14ac:dyDescent="0.25">
      <c r="A50" s="1"/>
      <c r="B50" s="47" t="s">
        <v>94</v>
      </c>
      <c r="C50" s="48"/>
      <c r="D50" s="48"/>
      <c r="E50" s="48"/>
      <c r="F50" s="48"/>
      <c r="G50" s="48"/>
      <c r="H50" s="48"/>
      <c r="I50" s="66">
        <f>I45-I46-I47-I48-I49</f>
        <v>1584.2727272727273</v>
      </c>
      <c r="J50" s="51">
        <f>J45-J46-J47-J48-J49</f>
        <v>158427.27272727274</v>
      </c>
      <c r="K50" s="1"/>
    </row>
    <row r="51" spans="1:11" ht="15.75" x14ac:dyDescent="0.25">
      <c r="A51" s="1"/>
      <c r="B51" s="52"/>
      <c r="C51" s="53"/>
      <c r="D51" s="53"/>
      <c r="E51" s="52"/>
      <c r="F51" s="53"/>
      <c r="G51" s="54"/>
      <c r="H51" s="53"/>
      <c r="I51" s="55"/>
      <c r="J51" s="56"/>
      <c r="K51" s="1"/>
    </row>
    <row r="52" spans="1:11" ht="15.75" x14ac:dyDescent="0.25">
      <c r="A52" s="1"/>
      <c r="B52" s="47" t="s">
        <v>95</v>
      </c>
      <c r="C52" s="48"/>
      <c r="D52" s="48"/>
      <c r="E52" s="67"/>
      <c r="F52" s="48"/>
      <c r="G52" s="48"/>
      <c r="H52" s="48"/>
      <c r="I52" s="68">
        <f>I50-I41</f>
        <v>-91.063491905354795</v>
      </c>
      <c r="J52" s="69">
        <f>J50-J41</f>
        <v>-9106.3491905354604</v>
      </c>
      <c r="K52" s="1"/>
    </row>
    <row r="53" spans="1:11" ht="15.75" x14ac:dyDescent="0.25">
      <c r="A53" s="1"/>
      <c r="B53" s="52"/>
      <c r="C53" s="53"/>
      <c r="D53" s="53"/>
      <c r="E53" s="70"/>
      <c r="F53" s="53"/>
      <c r="G53" s="53"/>
      <c r="H53" s="53"/>
      <c r="I53" s="71"/>
      <c r="J53" s="71"/>
      <c r="K53" s="1"/>
    </row>
    <row r="54" spans="1:11" x14ac:dyDescent="0.2">
      <c r="A54" s="1"/>
      <c r="B54" s="72" t="s">
        <v>96</v>
      </c>
      <c r="C54" s="1"/>
      <c r="D54" s="1"/>
      <c r="E54" s="73">
        <f>D45-(I52/F22)</f>
        <v>2.7468765998473463</v>
      </c>
      <c r="F54" s="72" t="s">
        <v>97</v>
      </c>
      <c r="G54" s="1"/>
      <c r="H54" s="1"/>
      <c r="I54" s="2"/>
      <c r="J54" s="2"/>
      <c r="K54" s="1"/>
    </row>
    <row r="55" spans="1:11" x14ac:dyDescent="0.2">
      <c r="A55" s="1"/>
      <c r="B55" s="74">
        <v>0.56000000000000005</v>
      </c>
      <c r="C55" s="1" t="s">
        <v>98</v>
      </c>
      <c r="D55" s="1"/>
      <c r="E55" s="75">
        <f>E54*100/B55/100</f>
        <v>4.9051367854416892</v>
      </c>
      <c r="F55" s="1" t="s">
        <v>99</v>
      </c>
      <c r="G55" s="1"/>
      <c r="H55" s="1"/>
      <c r="I55" s="2"/>
      <c r="J55" s="2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2"/>
      <c r="J56" s="2"/>
      <c r="K56" s="1"/>
    </row>
    <row r="57" spans="1:11" x14ac:dyDescent="0.2">
      <c r="B57" s="12" t="s">
        <v>100</v>
      </c>
      <c r="C57" s="12"/>
      <c r="D57" s="12"/>
      <c r="E57" s="76">
        <f>F45*B55</f>
        <v>347.20000000000005</v>
      </c>
      <c r="F57" s="12" t="s">
        <v>101</v>
      </c>
      <c r="G5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CHUDLEIGH Fred</cp:lastModifiedBy>
  <dcterms:created xsi:type="dcterms:W3CDTF">2019-03-04T01:31:26Z</dcterms:created>
  <dcterms:modified xsi:type="dcterms:W3CDTF">2019-03-09T05:43:03Z</dcterms:modified>
</cp:coreProperties>
</file>