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oger - R\Projects\1 Drought resilience\1 Future drought fund project work\Enquiries\1 Email for enquiries\Excel\Sell v feed - update\"/>
    </mc:Choice>
  </mc:AlternateContent>
  <xr:revisionPtr revIDLastSave="0" documentId="13_ncr:1_{F871FE1E-ACB8-4459-88BD-937C39630DA8}" xr6:coauthVersionLast="47" xr6:coauthVersionMax="47" xr10:uidLastSave="{00000000-0000-0000-0000-000000000000}"/>
  <bookViews>
    <workbookView xWindow="-120" yWindow="-120" windowWidth="29040" windowHeight="15720" xr2:uid="{13B2AB50-1D39-4487-BBCE-56A15F203DD3}"/>
  </bookViews>
  <sheets>
    <sheet name="Sell v Feed" sheetId="10" r:id="rId1"/>
    <sheet name="Resource list" sheetId="11" r:id="rId2"/>
  </sheets>
  <externalReferences>
    <externalReference r:id="rId3"/>
    <externalReference r:id="rId4"/>
  </externalReferences>
  <definedNames>
    <definedName name="AE" localSheetId="0">[1]SOP!#REF!</definedName>
    <definedName name="AE">[1]SOP!#REF!</definedName>
    <definedName name="ALL">#REF!</definedName>
    <definedName name="CA" localSheetId="0">[1]SOP!#REF!</definedName>
    <definedName name="CA">[1]SOP!#REF!</definedName>
    <definedName name="CH" localSheetId="0">[1]SOP!#REF!</definedName>
    <definedName name="CH">[1]SOP!#REF!</definedName>
    <definedName name="costs" localSheetId="0">#REF!</definedName>
    <definedName name="costs">#REF!</definedName>
    <definedName name="disease">#REF!</definedName>
    <definedName name="FE" localSheetId="0">[1]SOP!#REF!</definedName>
    <definedName name="FE">[1]SOP!#REF!</definedName>
    <definedName name="fert">#REF!</definedName>
    <definedName name="gm1_" localSheetId="0">#REF!</definedName>
    <definedName name="gm1_">#REF!</definedName>
    <definedName name="HA" localSheetId="0">[1]SOP!#REF!</definedName>
    <definedName name="HA">[1]SOP!#REF!</definedName>
    <definedName name="harvest">#REF!</definedName>
    <definedName name="insect">#REF!</definedName>
    <definedName name="IR" localSheetId="0">[1]SOP!#REF!</definedName>
    <definedName name="IR">[1]SOP!#REF!</definedName>
    <definedName name="irrig">#REF!</definedName>
    <definedName name="MA" localSheetId="0">[1]SOP!#REF!</definedName>
    <definedName name="MA">[1]SOP!#REF!</definedName>
    <definedName name="name">#REF!</definedName>
    <definedName name="OT" localSheetId="0">[1]SOP!#REF!</definedName>
    <definedName name="OT">[1]SOP!#REF!</definedName>
    <definedName name="plant">#REF!</definedName>
    <definedName name="prep">#REF!</definedName>
    <definedName name="replant">#REF!</definedName>
    <definedName name="RH" localSheetId="0">[1]SOP!#REF!</definedName>
    <definedName name="RH">[1]SOP!#REF!</definedName>
    <definedName name="SE" localSheetId="0">[1]SOP!#REF!</definedName>
    <definedName name="SE">[1]SOP!#REF!</definedName>
    <definedName name="varcost" localSheetId="0">'[2]#REF'!#REF!</definedName>
    <definedName name="varcost">'[2]#REF'!#REF!</definedName>
    <definedName name="we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0" l="1"/>
  <c r="F17" i="10"/>
  <c r="F15" i="10"/>
  <c r="D14" i="10"/>
  <c r="G16" i="10"/>
  <c r="I93" i="10"/>
  <c r="I92" i="10"/>
  <c r="I88" i="10"/>
  <c r="I89" i="10"/>
  <c r="I90" i="10"/>
  <c r="I91" i="10"/>
  <c r="I86" i="10"/>
  <c r="I87" i="10"/>
  <c r="G88" i="10"/>
  <c r="H88" i="10" s="1"/>
  <c r="E84" i="10"/>
  <c r="G86" i="10"/>
  <c r="B12" i="10"/>
  <c r="B13" i="10" s="1"/>
  <c r="C12" i="10"/>
  <c r="C13" i="10" s="1"/>
  <c r="E18" i="10"/>
  <c r="F18" i="10" s="1"/>
  <c r="H23" i="10"/>
  <c r="G26" i="10"/>
  <c r="D13" i="10" l="1"/>
  <c r="H86" i="10"/>
  <c r="H20" i="10"/>
  <c r="G11" i="10"/>
  <c r="B18" i="10"/>
  <c r="C11" i="10" l="1"/>
  <c r="C10" i="10"/>
  <c r="N32" i="10"/>
  <c r="O35" i="10"/>
  <c r="C9" i="10"/>
  <c r="O3" i="10"/>
  <c r="O7" i="10" s="1"/>
  <c r="O8" i="10" s="1"/>
  <c r="F7" i="10" s="1"/>
  <c r="G17" i="10" s="1"/>
  <c r="O34" i="10" l="1"/>
  <c r="E17" i="10"/>
  <c r="H16" i="10"/>
  <c r="F8" i="10"/>
  <c r="F10" i="10" s="1"/>
  <c r="G10" i="10" s="1"/>
  <c r="B9" i="10"/>
  <c r="G90" i="10"/>
  <c r="E90" i="10"/>
  <c r="H89" i="10"/>
  <c r="G89" i="10"/>
  <c r="F89" i="10"/>
  <c r="E88" i="10"/>
  <c r="F88" i="10" s="1"/>
  <c r="J83" i="10"/>
  <c r="H93" i="10"/>
  <c r="K84" i="10"/>
  <c r="H80" i="10"/>
  <c r="G30" i="10"/>
  <c r="F28" i="10"/>
  <c r="D23" i="10"/>
  <c r="D22" i="10"/>
  <c r="D9" i="10" l="1"/>
  <c r="D10" i="10"/>
  <c r="D11" i="10" s="1"/>
  <c r="E15" i="10"/>
  <c r="F11" i="10"/>
  <c r="H84" i="10"/>
  <c r="E91" i="10"/>
  <c r="G91" i="10"/>
  <c r="J84" i="10" l="1"/>
  <c r="F84" i="10"/>
  <c r="H90" i="10"/>
  <c r="H91" i="10" s="1"/>
  <c r="H92" i="10" s="1"/>
  <c r="F93" i="10"/>
  <c r="G93" i="10" s="1"/>
  <c r="F86" i="10"/>
  <c r="F90" i="10"/>
  <c r="F91" i="10" s="1"/>
  <c r="F92" i="10" s="1"/>
  <c r="K83" i="10" l="1"/>
  <c r="K85" i="10" s="1"/>
  <c r="J85" i="10"/>
  <c r="G92" i="10"/>
  <c r="G94" i="10"/>
  <c r="G18" i="10"/>
  <c r="G19" i="10" s="1"/>
  <c r="E19" i="10"/>
  <c r="F19" i="10" s="1"/>
  <c r="O26" i="10"/>
  <c r="O27" i="10" s="1"/>
  <c r="O29" i="10" s="1"/>
  <c r="C15" i="10"/>
  <c r="C30" i="10" s="1"/>
  <c r="C32" i="10" s="1"/>
  <c r="E29" i="10" s="1"/>
  <c r="N26" i="10"/>
  <c r="E16" i="10" l="1"/>
  <c r="F16" i="10" s="1"/>
  <c r="G20" i="10"/>
  <c r="G23" i="10" s="1"/>
  <c r="G22" i="10"/>
  <c r="D30" i="10"/>
  <c r="E20" i="10" l="1"/>
  <c r="E22" i="10" s="1"/>
  <c r="E23" i="10" l="1"/>
  <c r="F23" i="10" s="1"/>
  <c r="F26" i="10" s="1"/>
  <c r="F30" i="10" s="1"/>
  <c r="F22" i="10"/>
  <c r="G25" i="10" s="1"/>
  <c r="F25" i="10" l="1"/>
  <c r="F29" i="10" s="1"/>
  <c r="G2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Sneath</author>
    <author>SNEATH Roger</author>
    <author>sneathr</author>
  </authors>
  <commentList>
    <comment ref="D6" authorId="0" shapeId="0" xr:uid="{80ACF16F-DD08-460E-B60D-26C398C26D4C}">
      <text>
        <r>
          <rPr>
            <sz val="10"/>
            <color indexed="81"/>
            <rFont val="Tahoma"/>
            <family val="2"/>
          </rPr>
          <t>Consider feed supply and prices over extended dry periods. Supply often gets tighter and prices rise.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" authorId="0" shapeId="0" xr:uid="{24450AB4-BD2B-4E5C-AFC0-48DDDE4B19EF}">
      <text>
        <r>
          <rPr>
            <sz val="11"/>
            <color indexed="81"/>
            <rFont val="Tahoma"/>
            <family val="2"/>
          </rPr>
          <t>Source for loading density: Kaus, Lapworth and Dunn "Marketing Cattle  to South-East Asia"</t>
        </r>
      </text>
    </comment>
    <comment ref="B14" authorId="1" shapeId="0" xr:uid="{92FF92A4-573D-4BFE-B423-4FAA32A5CB87}">
      <text>
        <r>
          <rPr>
            <sz val="9"/>
            <color indexed="81"/>
            <rFont val="Tahoma"/>
            <family val="2"/>
          </rPr>
          <t>Date entries can be as all numbers or typing the month, e.g.
15/7/26 or 15 July 26</t>
        </r>
      </text>
    </comment>
    <comment ref="C14" authorId="0" shapeId="0" xr:uid="{EA120BEC-14CD-452E-9813-F592F4CB986C}">
      <text>
        <r>
          <rPr>
            <sz val="10"/>
            <color indexed="81"/>
            <rFont val="Tahoma"/>
            <family val="2"/>
          </rPr>
          <t>What are the probabilities of an earlier or later break?
Approximately what is your green date based on historic data.</t>
        </r>
      </text>
    </comment>
    <comment ref="D16" authorId="0" shapeId="0" xr:uid="{F53EFAD7-94CD-4162-848E-37AAD3B80797}">
      <text>
        <r>
          <rPr>
            <sz val="10"/>
            <color indexed="81"/>
            <rFont val="Tahoma"/>
            <family val="2"/>
          </rPr>
          <t>e.g. wages, fuel, gear, R&amp;M
See calculator in column 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82475657-9E1E-4C26-9592-742EDA0AF4DA}">
      <text>
        <r>
          <rPr>
            <sz val="10"/>
            <color indexed="81"/>
            <rFont val="Tahoma"/>
            <family val="2"/>
          </rPr>
          <t>See calculators column N</t>
        </r>
      </text>
    </comment>
    <comment ref="I25" authorId="0" shapeId="0" xr:uid="{C8FFE2BE-11A6-4AB9-A343-8D43CD3A2F07}">
      <text>
        <r>
          <rPr>
            <sz val="10"/>
            <color indexed="81"/>
            <rFont val="Tahoma"/>
            <family val="2"/>
          </rPr>
          <t xml:space="preserve">This compares the cost of feeding to the cost of selling &amp; buying back.
It does not consider:
  -discounting (time value of money)
  -other factors as listed below. (eg impacts on pastures, stock, people…) </t>
        </r>
      </text>
    </comment>
    <comment ref="B28" authorId="2" shapeId="0" xr:uid="{63FB0C38-F2B9-4B25-96C2-5D7709614C87}">
      <text>
        <r>
          <rPr>
            <sz val="10"/>
            <color indexed="81"/>
            <rFont val="Tahoma"/>
            <family val="2"/>
          </rPr>
          <t xml:space="preserve">If no calves being born during feeding period then make this ZERO.
</t>
        </r>
      </text>
    </comment>
    <comment ref="B29" authorId="2" shapeId="0" xr:uid="{1356DC43-4A3E-407E-80F7-038F7E06E41A}">
      <text>
        <r>
          <rPr>
            <sz val="9"/>
            <color indexed="81"/>
            <rFont val="Tahoma"/>
            <family val="2"/>
          </rPr>
          <t>Enter relevant "Start date" above and number of days feeding first.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2" authorId="1" shapeId="0" xr:uid="{97950E83-0A25-4EE1-934C-BBDECE176F15}">
      <text>
        <r>
          <rPr>
            <sz val="9"/>
            <color indexed="81"/>
            <rFont val="Tahoma"/>
            <family val="2"/>
          </rPr>
          <t>This adds 30 kg calf birth weight to the daily gain x age in days above.</t>
        </r>
      </text>
    </comment>
    <comment ref="E80" authorId="2" shapeId="0" xr:uid="{83BF8C48-3513-4DF8-B0EA-745DD1E8729B}">
      <text>
        <r>
          <rPr>
            <sz val="10"/>
            <color indexed="81"/>
            <rFont val="Tahoma"/>
            <family val="2"/>
          </rPr>
          <t>Enter own dates and scenarios below</t>
        </r>
      </text>
    </comment>
  </commentList>
</comments>
</file>

<file path=xl/sharedStrings.xml><?xml version="1.0" encoding="utf-8"?>
<sst xmlns="http://schemas.openxmlformats.org/spreadsheetml/2006/main" count="200" uniqueCount="191">
  <si>
    <t>Feeding</t>
  </si>
  <si>
    <t>Pastures</t>
  </si>
  <si>
    <t>Points to consider</t>
  </si>
  <si>
    <t>Other factors</t>
  </si>
  <si>
    <t>Feed eaten (T)</t>
  </si>
  <si>
    <t>Period 1</t>
  </si>
  <si>
    <t>Period 2</t>
  </si>
  <si>
    <t>Consider dry period example:</t>
  </si>
  <si>
    <t>Start</t>
  </si>
  <si>
    <t>End</t>
  </si>
  <si>
    <t>Days</t>
  </si>
  <si>
    <t>Scenario 1</t>
  </si>
  <si>
    <t>Scenario 2</t>
  </si>
  <si>
    <t>Total number of head at start</t>
  </si>
  <si>
    <t>No. head remaining</t>
  </si>
  <si>
    <t xml:space="preserve">For example, consider a failed summer by the end of March. </t>
  </si>
  <si>
    <t>Daily dry matter intake (kg/hd/day)</t>
  </si>
  <si>
    <t>Number of head sold</t>
  </si>
  <si>
    <t>Pasture sparing benefits of early sales, when feed is limiting</t>
  </si>
  <si>
    <t>Risk management</t>
  </si>
  <si>
    <t xml:space="preserve"> + freight $/hd</t>
  </si>
  <si>
    <t>Weight</t>
  </si>
  <si>
    <t>Feed</t>
  </si>
  <si>
    <t xml:space="preserve"> - interest saved/earnt</t>
  </si>
  <si>
    <t>Start date</t>
  </si>
  <si>
    <t>Value $/kg</t>
  </si>
  <si>
    <t>Other options</t>
  </si>
  <si>
    <t>Other feeding considerations</t>
  </si>
  <si>
    <t>Other selling considerations</t>
  </si>
  <si>
    <t>Costs of feeding versus selling</t>
  </si>
  <si>
    <t>Lighter country is more fragile - i.e. faster to degrade and longer to restore.</t>
  </si>
  <si>
    <t>Healthy, productive pastures are the primary resource that drives long term productivity.</t>
  </si>
  <si>
    <t>Buy back $/kg</t>
  </si>
  <si>
    <t>When born</t>
  </si>
  <si>
    <t>Av. daily gain (kg)</t>
  </si>
  <si>
    <t>Age (days)</t>
  </si>
  <si>
    <t>Will calves be born?</t>
  </si>
  <si>
    <t xml:space="preserve"> Calf value per cow =</t>
  </si>
  <si>
    <t>Land in 'A' condition is twice as productive as land in 'C' condition.</t>
  </si>
  <si>
    <t>The effects feeding has on pastures - pasture health, infiltration, runoff, erosion, weeds, degradation risks, 3P grasses, reduced productivity.</t>
  </si>
  <si>
    <t>Speed of pasture recovery after rain.</t>
  </si>
  <si>
    <t>Feeding is very expensive, especially for long periods.</t>
  </si>
  <si>
    <t>Risks - stock losses during drought (bogging, feeds etc), reduced/delayed calving, losses after drought breaking rain.</t>
  </si>
  <si>
    <t>Impact on finances/capital and equity.</t>
  </si>
  <si>
    <t>Depreciation, wear and tear on equipment, and infrastructure.</t>
  </si>
  <si>
    <t>Other opportunities lost while busy with feeding - alternative use of time and work effort.</t>
  </si>
  <si>
    <t>Stress on people, stock, soils, pastures, gear, finances</t>
  </si>
  <si>
    <t>How long does it go?</t>
  </si>
  <si>
    <t>Rising feed costs</t>
  </si>
  <si>
    <t>Less stress</t>
  </si>
  <si>
    <t>More time to pursue other opportunities, e.g. other work/income</t>
  </si>
  <si>
    <t>Sale price achieved - move earlier (heavier stock, better prices, more feed left for other stock)</t>
  </si>
  <si>
    <t>Breeder quality - genetics, fertility, temperament and disease</t>
  </si>
  <si>
    <t>Bull gives biggest genetic impact over time</t>
  </si>
  <si>
    <t xml:space="preserve"> - agistment</t>
  </si>
  <si>
    <t xml:space="preserve"> - feedlot</t>
  </si>
  <si>
    <t xml:space="preserve"> - production feed</t>
  </si>
  <si>
    <t xml:space="preserve"> - lease</t>
  </si>
  <si>
    <t xml:space="preserve"> - buy land</t>
  </si>
  <si>
    <r>
      <t xml:space="preserve">Sell &amp; buy back </t>
    </r>
    <r>
      <rPr>
        <sz val="10"/>
        <rFont val="Arial"/>
        <family val="2"/>
      </rPr>
      <t>(the same or similar product)</t>
    </r>
  </si>
  <si>
    <t xml:space="preserve"> 1. using dry season pasture budgets (i.e. matching stock numbers to feed supply) to have good ground cover and 'rain ready' pastures at end of dry season (e.g. Dec/Jan)</t>
  </si>
  <si>
    <t>Current stock value</t>
  </si>
  <si>
    <t>Transport cost per head</t>
  </si>
  <si>
    <t>Number transported</t>
  </si>
  <si>
    <t>Distance (Km)</t>
  </si>
  <si>
    <t>$ per Km</t>
  </si>
  <si>
    <t>Rate on Truck</t>
  </si>
  <si>
    <t>Total</t>
  </si>
  <si>
    <t>Per head</t>
  </si>
  <si>
    <t>Transport Loading Density Guide</t>
  </si>
  <si>
    <t>Average liveweight</t>
  </si>
  <si>
    <t>kg liveweight</t>
  </si>
  <si>
    <t>other selling costs $/hd</t>
  </si>
  <si>
    <t xml:space="preserve"> - roadside grazing</t>
  </si>
  <si>
    <t>$/t feed</t>
  </si>
  <si>
    <t>Number of times feeding out per week</t>
  </si>
  <si>
    <t>Feed out cost $ per head</t>
  </si>
  <si>
    <t>Total health / other costs ($/head)</t>
  </si>
  <si>
    <t>Other costs if held and not sold  ($/head)</t>
  </si>
  <si>
    <t>maximum for lighter cattle</t>
  </si>
  <si>
    <t>44/deck</t>
  </si>
  <si>
    <t>Wages &amp; fuel for 1 feeding out</t>
  </si>
  <si>
    <t>Total health / other costs ($/mob)</t>
  </si>
  <si>
    <t>kg feed/head/day</t>
  </si>
  <si>
    <r>
      <rPr>
        <b/>
        <sz val="10"/>
        <rFont val="Arial"/>
        <family val="2"/>
      </rPr>
      <t>Health costs</t>
    </r>
    <r>
      <rPr>
        <sz val="10"/>
        <rFont val="Arial"/>
        <family val="2"/>
      </rPr>
      <t xml:space="preserve"> if held and not sold ($/head)</t>
    </r>
  </si>
  <si>
    <t>Cost to feed $/head</t>
  </si>
  <si>
    <t>buy back value $/head</t>
  </si>
  <si>
    <t>Difference</t>
  </si>
  <si>
    <t>It could be another 9 months or more before reliable tropical pasture growth occurs (December +).</t>
  </si>
  <si>
    <t>The calculator below compares the difference in feed needed for two scenarios - if you sell some earlier or some later.</t>
  </si>
  <si>
    <t xml:space="preserve">Total tonnes of feed eaten over total period </t>
  </si>
  <si>
    <r>
      <t xml:space="preserve">freight $/head </t>
    </r>
    <r>
      <rPr>
        <i/>
        <sz val="8"/>
        <rFont val="Arial"/>
        <family val="2"/>
      </rPr>
      <t>(see calculator column N)</t>
    </r>
  </si>
  <si>
    <t>/hd   commission%</t>
  </si>
  <si>
    <t>Feeding out cost estimator</t>
  </si>
  <si>
    <t>Extra infrastructure / gear / R&amp;M</t>
  </si>
  <si>
    <t>Feeding out cost for period for mob</t>
  </si>
  <si>
    <t>Cost to sell &amp; buy back per head</t>
  </si>
  <si>
    <t>(buy back value - start "value now")</t>
  </si>
  <si>
    <t>PTIC cows</t>
  </si>
  <si>
    <t>kg/day</t>
  </si>
  <si>
    <t>Wean %</t>
  </si>
  <si>
    <t>Ration</t>
  </si>
  <si>
    <t>Hay</t>
  </si>
  <si>
    <t>Feed cost estimates</t>
  </si>
  <si>
    <t>Less time for other things / opportunity cost of labour</t>
  </si>
  <si>
    <t>Pasture damage, weeds, botanical changes, reduced/delayed productivity</t>
  </si>
  <si>
    <t>Stock losses - bogging, end drought - exposure, chase green pick</t>
  </si>
  <si>
    <t>Faster pasture recovery (land condition / productive pastures generate wealth)</t>
  </si>
  <si>
    <t>Two important grazing management practices to help maintain land condition include:</t>
  </si>
  <si>
    <t xml:space="preserve"> 2. using wet season spelling of paddocks (e.g. 6 - 8 weeks or longer) to promote healthy 3P pastures and preserve or improve land condition.</t>
  </si>
  <si>
    <t>Feeding can be successful if very well planned &amp; managed, though it can also be very stressful on people, stock, pastures, soils, equipment and finances.</t>
  </si>
  <si>
    <t>If sell and get it wrong - may miss out on some profit although pastures will benefit and may present later opportunities.</t>
  </si>
  <si>
    <t>If don’t sell and get it wrong and not well prepared - can lead to large losses in equity, pastures weakened and can be long–term reduced productivity.</t>
  </si>
  <si>
    <t>Research, such as the Wambiana grazing trial, supports conservative stocking, wet season spelling and dry season pasture budgeting for greater productivity and profits in the long run.</t>
  </si>
  <si>
    <t>Have a business &amp; drought plan. Have a decision and action dates for destocking for failed wet seasons, e.g. if no good grass growth by end of February or March.</t>
  </si>
  <si>
    <t>If the pasture has stopped growing, then earlier destocking measures means there is more feed left to carry remaining stock longer and less head need to be sold.</t>
  </si>
  <si>
    <t>Prices are often better and stock heavier prior to a prolonged dry period.</t>
  </si>
  <si>
    <t>Sell some earlier</t>
  </si>
  <si>
    <r>
      <t xml:space="preserve">Sell some </t>
    </r>
    <r>
      <rPr>
        <b/>
        <sz val="10"/>
        <color rgb="FF0000FF"/>
        <rFont val="Arial"/>
        <family val="2"/>
      </rPr>
      <t>X days</t>
    </r>
    <r>
      <rPr>
        <b/>
        <sz val="10"/>
        <rFont val="Arial"/>
        <family val="2"/>
      </rPr>
      <t xml:space="preserve"> later on the…</t>
    </r>
  </si>
  <si>
    <t xml:space="preserve">Animal owners have a legal duty of care for animal welfare to meet the animals needs in an appropriate way. </t>
  </si>
  <si>
    <t>The Animal Care and Protection Act | Business Queensland</t>
  </si>
  <si>
    <t>$/kg liveweight sale price</t>
  </si>
  <si>
    <t>Consider use of seasonal forecasts e.g. SOI(-), IOD(+) if relevant to your region. Remember it is only a probability, so you can still get the 1 in 9 etc unexpected events &amp; storm rain.</t>
  </si>
  <si>
    <t>Head per 12.2m deck</t>
  </si>
  <si>
    <t>Key factors impacting $ results</t>
  </si>
  <si>
    <t>Resource links</t>
  </si>
  <si>
    <t>FutureBeef: subscribe to e-newsletter</t>
  </si>
  <si>
    <t xml:space="preserve">https://futurebeef.com.au/ </t>
  </si>
  <si>
    <t>Pasture budgeting videos (4)</t>
  </si>
  <si>
    <t>Forage budgeting resources - FutureBeef</t>
  </si>
  <si>
    <t>Excel calculators</t>
  </si>
  <si>
    <t>Beef business tools - FutureBeef</t>
  </si>
  <si>
    <t>Land type fact sheets</t>
  </si>
  <si>
    <t>Land types of Queensland - FutureBeef</t>
  </si>
  <si>
    <t>Pasture yield photo standards</t>
  </si>
  <si>
    <t>Pasture photo standards - FutureBeef</t>
  </si>
  <si>
    <t>LCAT pasture guide PDF</t>
  </si>
  <si>
    <t>LCAT pasture guide - FutureBeef</t>
  </si>
  <si>
    <t>Land condition</t>
  </si>
  <si>
    <t>Land condition - FutureBeef</t>
  </si>
  <si>
    <t>Pasture wet season spelling</t>
  </si>
  <si>
    <t>Implementing wet season spelling to improve and recover pasture condition</t>
  </si>
  <si>
    <t>Give it a rest — how spelling brings country back to life - FutureBeef</t>
  </si>
  <si>
    <t>Contacts</t>
  </si>
  <si>
    <t>Contact us - FutureBeef</t>
  </si>
  <si>
    <t>Farm business resilience drought preparedness</t>
  </si>
  <si>
    <t>Drought Preparedness Grants | Queensland Rural and Industry</t>
  </si>
  <si>
    <t>DPI - farm business plan template</t>
  </si>
  <si>
    <t>www.publications.qld.gov.au/dataset/farm-business-resilience-plan</t>
  </si>
  <si>
    <t>Rural Solutions Qld (RSQ)</t>
  </si>
  <si>
    <t xml:space="preserve">https://rsq.org.au/ </t>
  </si>
  <si>
    <t xml:space="preserve">https://rfcssq.org.au/rural/ </t>
  </si>
  <si>
    <t>QRIDA 1800 623 946</t>
  </si>
  <si>
    <t>https://www.qrida.qld.gov.au/</t>
  </si>
  <si>
    <t>Long Paddock</t>
  </si>
  <si>
    <t>https://www.longpaddock.qld.gov.au/</t>
  </si>
  <si>
    <t xml:space="preserve">FORAGE - free satellite reports for lot on plans </t>
  </si>
  <si>
    <t>https://www.longpaddock.qld.gov.au/forage/about/</t>
  </si>
  <si>
    <t>NACP - green date calculator</t>
  </si>
  <si>
    <t>https://nacp.org.au/greendate/</t>
  </si>
  <si>
    <t>CliMate: historic rain data &amp; green date</t>
  </si>
  <si>
    <t>https://climateapp.net.au/</t>
  </si>
  <si>
    <t>RCS free drought online course</t>
  </si>
  <si>
    <t>Free Drought Course for Farmers | RCS</t>
  </si>
  <si>
    <t>https://www.rfcsnq.com.au/</t>
  </si>
  <si>
    <r>
      <rPr>
        <b/>
        <sz val="10"/>
        <color rgb="FF0000FF"/>
        <rFont val="Arial"/>
        <family val="2"/>
      </rPr>
      <t xml:space="preserve">Blue figures </t>
    </r>
    <r>
      <rPr>
        <sz val="10"/>
        <rFont val="Arial"/>
        <family val="2"/>
      </rPr>
      <t>are data entry</t>
    </r>
  </si>
  <si>
    <t>Slower pasture recovery &amp; impact on land condition</t>
  </si>
  <si>
    <t>Selling down stock ideas</t>
  </si>
  <si>
    <r>
      <t xml:space="preserve">• </t>
    </r>
    <r>
      <rPr>
        <sz val="10"/>
        <color rgb="FF000000"/>
        <rFont val="Arial"/>
        <family val="2"/>
      </rPr>
      <t>Normal sale stock</t>
    </r>
  </si>
  <si>
    <r>
      <t xml:space="preserve">• </t>
    </r>
    <r>
      <rPr>
        <sz val="10"/>
        <color rgb="FF000000"/>
        <rFont val="Arial"/>
        <family val="2"/>
      </rPr>
      <t>Higher risk, worst genetics, least profitable stock</t>
    </r>
  </si>
  <si>
    <r>
      <t xml:space="preserve">▪ </t>
    </r>
    <r>
      <rPr>
        <sz val="10"/>
        <color rgb="FF000000"/>
        <rFont val="Arial"/>
        <family val="2"/>
      </rPr>
      <t>Preg test – empty / foetal aged late to conceive</t>
    </r>
    <r>
      <rPr>
        <sz val="10"/>
        <rFont val="Arial"/>
        <family val="2"/>
      </rPr>
      <t xml:space="preserve"> cows</t>
    </r>
  </si>
  <si>
    <r>
      <t xml:space="preserve">▪ </t>
    </r>
    <r>
      <rPr>
        <sz val="10"/>
        <color rgb="FF000000"/>
        <rFont val="Arial"/>
        <family val="2"/>
      </rPr>
      <t>Out season or late calving</t>
    </r>
    <r>
      <rPr>
        <sz val="10"/>
        <rFont val="Arial"/>
        <family val="2"/>
      </rPr>
      <t xml:space="preserve"> cows</t>
    </r>
  </si>
  <si>
    <r>
      <t xml:space="preserve">▪ </t>
    </r>
    <r>
      <rPr>
        <sz val="10"/>
        <color rgb="FF000000"/>
        <rFont val="Arial"/>
        <family val="2"/>
      </rPr>
      <t>Poor temperament, conformation, parasite susceptible</t>
    </r>
  </si>
  <si>
    <r>
      <t xml:space="preserve">▪ </t>
    </r>
    <r>
      <rPr>
        <sz val="10"/>
        <color rgb="FF000000"/>
        <rFont val="Arial"/>
        <family val="2"/>
      </rPr>
      <t>Old</t>
    </r>
  </si>
  <si>
    <r>
      <t xml:space="preserve">▪ </t>
    </r>
    <r>
      <rPr>
        <sz val="10"/>
        <color rgb="FF000000"/>
        <rFont val="Arial"/>
        <family val="2"/>
      </rPr>
      <t>Cull heifers</t>
    </r>
  </si>
  <si>
    <r>
      <t xml:space="preserve">▪ </t>
    </r>
    <r>
      <rPr>
        <sz val="10"/>
        <color rgb="FF000000"/>
        <rFont val="Arial"/>
        <family val="2"/>
      </rPr>
      <t>Poor doers</t>
    </r>
  </si>
  <si>
    <r>
      <t xml:space="preserve">▪ </t>
    </r>
    <r>
      <rPr>
        <sz val="10"/>
        <color rgb="FF000000"/>
        <rFont val="Arial"/>
        <family val="2"/>
      </rPr>
      <t>Inferior bulls</t>
    </r>
  </si>
  <si>
    <t>Agistment calculator - FutureBeef</t>
  </si>
  <si>
    <t>Buy back price - check historic data. May have earlier buy back opportunities.</t>
  </si>
  <si>
    <t>Stock start &amp; end value, feeding duration, cost of feed, deaths + see other considerations</t>
  </si>
  <si>
    <r>
      <t xml:space="preserve">head       </t>
    </r>
    <r>
      <rPr>
        <i/>
        <sz val="9"/>
        <rFont val="Arial"/>
        <family val="2"/>
      </rPr>
      <t>description:</t>
    </r>
  </si>
  <si>
    <t>Feed cost  $/hd/day</t>
  </si>
  <si>
    <t>Feeding out  $/hd/period</t>
  </si>
  <si>
    <t>Health, vet   $/hd/period</t>
  </si>
  <si>
    <t>Deaths  $/head</t>
  </si>
  <si>
    <r>
      <rPr>
        <sz val="10"/>
        <rFont val="Arial"/>
        <family val="2"/>
      </rPr>
      <t>Interest</t>
    </r>
    <r>
      <rPr>
        <sz val="9"/>
        <rFont val="Arial"/>
        <family val="2"/>
      </rPr>
      <t xml:space="preserve"> (stock &amp; feed)  </t>
    </r>
    <r>
      <rPr>
        <sz val="10"/>
        <rFont val="Arial"/>
        <family val="2"/>
      </rPr>
      <t>$/hd</t>
    </r>
  </si>
  <si>
    <t>Number of head retained end of period</t>
  </si>
  <si>
    <r>
      <rPr>
        <b/>
        <sz val="10"/>
        <color rgb="FF0000FF"/>
        <rFont val="Arial"/>
        <family val="2"/>
      </rPr>
      <t>Blue figues</t>
    </r>
    <r>
      <rPr>
        <sz val="10"/>
        <rFont val="Arial"/>
        <family val="2"/>
      </rPr>
      <t xml:space="preserve"> in white cells are data entry.</t>
    </r>
  </si>
  <si>
    <t>Change the above values to find approximate break even points.</t>
  </si>
  <si>
    <t xml:space="preserve">Rural Financial Counselling Service - South QLD (RFCS) </t>
  </si>
  <si>
    <t xml:space="preserve">Rural Financial Counselling Service - North QLD (RFCS)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</si>
</sst>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_);[Red]\(&quot;$&quot;#,##0\)"/>
    <numFmt numFmtId="165" formatCode="&quot;$&quot;#,##0.00_);[Red]\(&quot;$&quot;#,##0.00\)"/>
    <numFmt numFmtId="166" formatCode="0.0"/>
    <numFmt numFmtId="167" formatCode="[$$-C09]#,##0.00"/>
    <numFmt numFmtId="168" formatCode="[$$-C09]#,##0"/>
    <numFmt numFmtId="169" formatCode="0_ ;[Red]\-0\ "/>
    <numFmt numFmtId="170" formatCode="&quot;$&quot;#,##0.00;[Red]&quot;$&quot;#,##0.00"/>
    <numFmt numFmtId="171" formatCode="&quot;$&quot;#,##0;[Red]&quot;$&quot;#,##0"/>
    <numFmt numFmtId="172" formatCode="#,##0_ ;[Red]\-#,##0\ "/>
    <numFmt numFmtId="173" formatCode="&quot;$&quot;#,##0"/>
    <numFmt numFmtId="174" formatCode="&quot;$&quot;#,##0.00"/>
    <numFmt numFmtId="175" formatCode="0.00_)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color indexed="12"/>
      <name val="Arial"/>
      <family val="2"/>
    </font>
    <font>
      <sz val="10"/>
      <color indexed="63"/>
      <name val="Arial"/>
      <family val="2"/>
    </font>
    <font>
      <sz val="10"/>
      <color indexed="81"/>
      <name val="Tahoma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9"/>
      <color indexed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color indexed="10"/>
      <name val="Arial"/>
      <family val="2"/>
    </font>
    <font>
      <b/>
      <sz val="1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rgb="FF0000FF"/>
      <name val="Arial"/>
      <family val="2"/>
    </font>
    <font>
      <sz val="11"/>
      <color indexed="81"/>
      <name val="Tahoma"/>
      <family val="2"/>
    </font>
    <font>
      <sz val="10"/>
      <name val="Courier"/>
      <family val="3"/>
    </font>
    <font>
      <sz val="10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b/>
      <sz val="9"/>
      <color rgb="FF0000FF"/>
      <name val="Arial"/>
      <family val="2"/>
    </font>
    <font>
      <i/>
      <sz val="8"/>
      <name val="Arial"/>
      <family val="2"/>
    </font>
    <font>
      <sz val="10"/>
      <color rgb="FF0000FF"/>
      <name val="Arial"/>
      <family val="2"/>
    </font>
    <font>
      <sz val="9"/>
      <color rgb="FF0000FF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</font>
    <font>
      <b/>
      <u/>
      <sz val="10"/>
      <name val="Arial"/>
      <family val="2"/>
    </font>
    <font>
      <b/>
      <sz val="16"/>
      <color theme="1"/>
      <name val="Aptos"/>
      <family val="2"/>
    </font>
    <font>
      <sz val="12"/>
      <color theme="1"/>
      <name val="Aptos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ptos"/>
      <family val="2"/>
    </font>
    <font>
      <sz val="10"/>
      <color rgb="FF800000"/>
      <name val="Arial"/>
      <family val="2"/>
    </font>
    <font>
      <b/>
      <sz val="10"/>
      <color rgb="FF800000"/>
      <name val="Arial"/>
      <family val="2"/>
    </font>
    <font>
      <b/>
      <sz val="10"/>
      <color rgb="FF003300"/>
      <name val="Arial"/>
      <family val="2"/>
    </font>
    <font>
      <b/>
      <sz val="9"/>
      <color rgb="FF0033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rgb="FF800000"/>
      <name val="Arial"/>
      <family val="2"/>
    </font>
    <font>
      <sz val="12"/>
      <name val="Aptos"/>
      <family val="2"/>
    </font>
    <font>
      <sz val="12"/>
      <color rgb="FF000000"/>
      <name val="Aptos"/>
      <family val="2"/>
    </font>
    <font>
      <b/>
      <sz val="14"/>
      <color theme="1"/>
      <name val="Aptos"/>
      <family val="2"/>
    </font>
    <font>
      <sz val="10"/>
      <color rgb="FF000000"/>
      <name val="Arial"/>
      <family val="2"/>
    </font>
    <font>
      <u/>
      <sz val="8"/>
      <color theme="10"/>
      <name val="Arial"/>
      <family val="2"/>
    </font>
    <font>
      <b/>
      <sz val="9"/>
      <color rgb="FF800000"/>
      <name val="Arial Narrow"/>
      <family val="2"/>
    </font>
    <font>
      <sz val="9"/>
      <color theme="1" tint="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44" fontId="19" fillId="0" borderId="0" applyFont="0" applyFill="0" applyBorder="0" applyAlignment="0" applyProtection="0"/>
    <xf numFmtId="0" fontId="20" fillId="0" borderId="0"/>
    <xf numFmtId="0" fontId="3" fillId="0" borderId="0"/>
    <xf numFmtId="0" fontId="4" fillId="0" borderId="0"/>
    <xf numFmtId="0" fontId="4" fillId="0" borderId="0"/>
    <xf numFmtId="175" fontId="23" fillId="0" borderId="0"/>
    <xf numFmtId="9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</cellStyleXfs>
  <cellXfs count="317">
    <xf numFmtId="0" fontId="0" fillId="0" borderId="0" xfId="0"/>
    <xf numFmtId="15" fontId="6" fillId="0" borderId="1" xfId="1" applyNumberFormat="1" applyFont="1" applyBorder="1" applyAlignment="1" applyProtection="1">
      <alignment horizontal="center"/>
      <protection locked="0"/>
    </xf>
    <xf numFmtId="0" fontId="0" fillId="2" borderId="0" xfId="0" applyFill="1"/>
    <xf numFmtId="170" fontId="0" fillId="2" borderId="0" xfId="0" applyNumberFormat="1" applyFill="1"/>
    <xf numFmtId="0" fontId="4" fillId="2" borderId="0" xfId="0" applyFont="1" applyFill="1"/>
    <xf numFmtId="9" fontId="6" fillId="0" borderId="1" xfId="0" applyNumberFormat="1" applyFont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/>
    <xf numFmtId="9" fontId="6" fillId="0" borderId="1" xfId="0" applyNumberFormat="1" applyFont="1" applyBorder="1" applyAlignment="1" applyProtection="1">
      <alignment horizontal="right"/>
      <protection locked="0"/>
    </xf>
    <xf numFmtId="9" fontId="6" fillId="0" borderId="1" xfId="0" applyNumberFormat="1" applyFont="1" applyBorder="1" applyAlignment="1" applyProtection="1">
      <alignment horizontal="left"/>
      <protection locked="0"/>
    </xf>
    <xf numFmtId="3" fontId="21" fillId="0" borderId="1" xfId="4" applyNumberFormat="1" applyFont="1" applyBorder="1" applyAlignment="1" applyProtection="1">
      <alignment horizontal="center"/>
      <protection locked="0"/>
    </xf>
    <xf numFmtId="0" fontId="21" fillId="0" borderId="1" xfId="4" applyFont="1" applyBorder="1" applyAlignment="1" applyProtection="1">
      <alignment horizontal="center"/>
      <protection locked="0"/>
    </xf>
    <xf numFmtId="8" fontId="21" fillId="0" borderId="1" xfId="4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72" fontId="6" fillId="0" borderId="0" xfId="0" applyNumberFormat="1" applyFont="1" applyAlignment="1" applyProtection="1">
      <alignment horizont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16" fillId="3" borderId="0" xfId="0" applyFont="1" applyFill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8" fontId="6" fillId="0" borderId="0" xfId="0" applyNumberFormat="1" applyFont="1" applyProtection="1">
      <protection locked="0"/>
    </xf>
    <xf numFmtId="6" fontId="6" fillId="0" borderId="0" xfId="0" applyNumberFormat="1" applyFont="1" applyProtection="1">
      <protection locked="0"/>
    </xf>
    <xf numFmtId="8" fontId="0" fillId="3" borderId="7" xfId="0" applyNumberFormat="1" applyFill="1" applyBorder="1" applyProtection="1">
      <protection locked="0"/>
    </xf>
    <xf numFmtId="8" fontId="0" fillId="3" borderId="0" xfId="0" applyNumberFormat="1" applyFill="1" applyProtection="1">
      <protection locked="0"/>
    </xf>
    <xf numFmtId="0" fontId="0" fillId="3" borderId="8" xfId="0" applyFill="1" applyBorder="1" applyProtection="1">
      <protection locked="0"/>
    </xf>
    <xf numFmtId="0" fontId="6" fillId="0" borderId="25" xfId="1" applyFont="1" applyBorder="1" applyAlignment="1" applyProtection="1">
      <alignment horizontal="center"/>
      <protection locked="0"/>
    </xf>
    <xf numFmtId="0" fontId="6" fillId="0" borderId="26" xfId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 indent="2"/>
      <protection locked="0"/>
    </xf>
    <xf numFmtId="170" fontId="6" fillId="0" borderId="0" xfId="0" applyNumberFormat="1" applyFont="1" applyAlignment="1" applyProtection="1">
      <alignment horizontal="right" indent="2"/>
      <protection locked="0"/>
    </xf>
    <xf numFmtId="0" fontId="0" fillId="3" borderId="10" xfId="0" applyFill="1" applyBorder="1"/>
    <xf numFmtId="0" fontId="4" fillId="3" borderId="10" xfId="1" applyFont="1" applyFill="1" applyBorder="1"/>
    <xf numFmtId="0" fontId="4" fillId="3" borderId="7" xfId="1" applyFont="1" applyFill="1" applyBorder="1" applyAlignment="1">
      <alignment horizontal="left"/>
    </xf>
    <xf numFmtId="0" fontId="0" fillId="3" borderId="0" xfId="0" applyFill="1"/>
    <xf numFmtId="0" fontId="4" fillId="3" borderId="0" xfId="1" applyFont="1" applyFill="1"/>
    <xf numFmtId="0" fontId="4" fillId="3" borderId="7" xfId="1" applyFont="1" applyFill="1" applyBorder="1"/>
    <xf numFmtId="0" fontId="0" fillId="3" borderId="7" xfId="0" applyFill="1" applyBorder="1"/>
    <xf numFmtId="1" fontId="4" fillId="3" borderId="0" xfId="1" applyNumberFormat="1" applyFont="1" applyFill="1" applyAlignment="1">
      <alignment horizontal="left"/>
    </xf>
    <xf numFmtId="0" fontId="5" fillId="3" borderId="8" xfId="0" applyFont="1" applyFill="1" applyBorder="1" applyAlignment="1">
      <alignment horizontal="right"/>
    </xf>
    <xf numFmtId="8" fontId="13" fillId="3" borderId="6" xfId="0" applyNumberFormat="1" applyFont="1" applyFill="1" applyBorder="1" applyAlignment="1">
      <alignment horizontal="center"/>
    </xf>
    <xf numFmtId="0" fontId="0" fillId="3" borderId="6" xfId="0" applyFill="1" applyBorder="1"/>
    <xf numFmtId="0" fontId="15" fillId="3" borderId="6" xfId="2" applyFont="1" applyFill="1" applyBorder="1" applyAlignment="1">
      <alignment horizontal="left"/>
    </xf>
    <xf numFmtId="0" fontId="15" fillId="3" borderId="16" xfId="2" applyFont="1" applyFill="1" applyBorder="1" applyAlignment="1">
      <alignment horizontal="left"/>
    </xf>
    <xf numFmtId="0" fontId="0" fillId="3" borderId="12" xfId="0" applyFill="1" applyBorder="1"/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0" fontId="0" fillId="3" borderId="17" xfId="0" applyFill="1" applyBorder="1"/>
    <xf numFmtId="0" fontId="0" fillId="3" borderId="18" xfId="0" applyFill="1" applyBorder="1"/>
    <xf numFmtId="0" fontId="4" fillId="3" borderId="18" xfId="0" applyFont="1" applyFill="1" applyBorder="1"/>
    <xf numFmtId="0" fontId="0" fillId="3" borderId="19" xfId="0" applyFill="1" applyBorder="1"/>
    <xf numFmtId="0" fontId="25" fillId="3" borderId="23" xfId="0" applyFont="1" applyFill="1" applyBorder="1" applyAlignment="1">
      <alignment vertical="top"/>
    </xf>
    <xf numFmtId="0" fontId="0" fillId="3" borderId="9" xfId="0" applyFill="1" applyBorder="1"/>
    <xf numFmtId="0" fontId="0" fillId="3" borderId="24" xfId="0" applyFill="1" applyBorder="1"/>
    <xf numFmtId="0" fontId="4" fillId="2" borderId="10" xfId="0" applyFont="1" applyFill="1" applyBorder="1" applyAlignment="1">
      <alignment horizontal="left" vertical="center"/>
    </xf>
    <xf numFmtId="0" fontId="0" fillId="4" borderId="10" xfId="0" applyFill="1" applyBorder="1" applyAlignment="1">
      <alignment horizontal="left"/>
    </xf>
    <xf numFmtId="0" fontId="0" fillId="3" borderId="11" xfId="0" applyFill="1" applyBorder="1"/>
    <xf numFmtId="0" fontId="17" fillId="3" borderId="7" xfId="0" applyFont="1" applyFill="1" applyBorder="1"/>
    <xf numFmtId="0" fontId="0" fillId="4" borderId="0" xfId="0" applyFill="1" applyAlignment="1">
      <alignment horizontal="left"/>
    </xf>
    <xf numFmtId="0" fontId="16" fillId="3" borderId="0" xfId="0" applyFont="1" applyFill="1"/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right"/>
    </xf>
    <xf numFmtId="164" fontId="3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4" fillId="3" borderId="0" xfId="0" applyFont="1" applyFill="1"/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5" fontId="9" fillId="3" borderId="5" xfId="0" applyNumberFormat="1" applyFont="1" applyFill="1" applyBorder="1" applyAlignment="1">
      <alignment horizontal="center"/>
    </xf>
    <xf numFmtId="0" fontId="26" fillId="3" borderId="7" xfId="0" applyFont="1" applyFill="1" applyBorder="1" applyAlignment="1">
      <alignment horizontal="right"/>
    </xf>
    <xf numFmtId="6" fontId="4" fillId="3" borderId="0" xfId="0" applyNumberFormat="1" applyFont="1" applyFill="1" applyAlignment="1">
      <alignment horizontal="right" indent="2"/>
    </xf>
    <xf numFmtId="6" fontId="0" fillId="3" borderId="6" xfId="0" applyNumberFormat="1" applyFill="1" applyBorder="1" applyAlignment="1">
      <alignment horizontal="right"/>
    </xf>
    <xf numFmtId="0" fontId="0" fillId="3" borderId="5" xfId="0" applyFill="1" applyBorder="1"/>
    <xf numFmtId="6" fontId="0" fillId="3" borderId="6" xfId="0" applyNumberFormat="1" applyFill="1" applyBorder="1" applyAlignment="1">
      <alignment horizontal="right" indent="2"/>
    </xf>
    <xf numFmtId="6" fontId="0" fillId="3" borderId="0" xfId="0" applyNumberFormat="1" applyFill="1"/>
    <xf numFmtId="6" fontId="0" fillId="3" borderId="0" xfId="0" applyNumberFormat="1" applyFill="1" applyAlignment="1">
      <alignment horizontal="right" indent="2"/>
    </xf>
    <xf numFmtId="164" fontId="0" fillId="3" borderId="0" xfId="0" applyNumberForma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0" xfId="0" applyFont="1" applyFill="1"/>
    <xf numFmtId="164" fontId="3" fillId="6" borderId="20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left"/>
    </xf>
    <xf numFmtId="0" fontId="0" fillId="6" borderId="10" xfId="0" applyFill="1" applyBorder="1"/>
    <xf numFmtId="0" fontId="3" fillId="6" borderId="11" xfId="0" applyFont="1" applyFill="1" applyBorder="1" applyAlignment="1">
      <alignment horizontal="left"/>
    </xf>
    <xf numFmtId="164" fontId="3" fillId="6" borderId="17" xfId="0" applyNumberFormat="1" applyFont="1" applyFill="1" applyBorder="1" applyAlignment="1">
      <alignment horizontal="center"/>
    </xf>
    <xf numFmtId="0" fontId="3" fillId="6" borderId="18" xfId="0" applyFont="1" applyFill="1" applyBorder="1"/>
    <xf numFmtId="0" fontId="0" fillId="6" borderId="18" xfId="0" applyFill="1" applyBorder="1"/>
    <xf numFmtId="0" fontId="0" fillId="6" borderId="19" xfId="0" applyFill="1" applyBorder="1"/>
    <xf numFmtId="164" fontId="0" fillId="3" borderId="6" xfId="0" applyNumberFormat="1" applyFill="1" applyBorder="1"/>
    <xf numFmtId="0" fontId="4" fillId="3" borderId="13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6" fontId="0" fillId="3" borderId="0" xfId="0" applyNumberFormat="1" applyFill="1" applyAlignment="1">
      <alignment horizontal="left"/>
    </xf>
    <xf numFmtId="164" fontId="3" fillId="3" borderId="20" xfId="0" applyNumberFormat="1" applyFont="1" applyFill="1" applyBorder="1" applyAlignment="1">
      <alignment horizontal="center"/>
    </xf>
    <xf numFmtId="164" fontId="3" fillId="3" borderId="1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right"/>
    </xf>
    <xf numFmtId="0" fontId="15" fillId="3" borderId="0" xfId="2" applyFont="1" applyFill="1" applyAlignment="1">
      <alignment horizontal="left"/>
    </xf>
    <xf numFmtId="0" fontId="15" fillId="3" borderId="12" xfId="2" applyFont="1" applyFill="1" applyBorder="1" applyAlignment="1">
      <alignment horizontal="left"/>
    </xf>
    <xf numFmtId="15" fontId="6" fillId="0" borderId="15" xfId="0" applyNumberFormat="1" applyFont="1" applyBorder="1" applyAlignment="1" applyProtection="1">
      <alignment horizontal="center"/>
      <protection locked="0"/>
    </xf>
    <xf numFmtId="164" fontId="0" fillId="3" borderId="0" xfId="0" applyNumberFormat="1" applyFill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3" fillId="5" borderId="2" xfId="0" applyFont="1" applyFill="1" applyBorder="1"/>
    <xf numFmtId="0" fontId="0" fillId="5" borderId="14" xfId="0" applyFill="1" applyBorder="1"/>
    <xf numFmtId="0" fontId="4" fillId="5" borderId="21" xfId="0" applyFont="1" applyFill="1" applyBorder="1" applyAlignment="1">
      <alignment horizontal="left"/>
    </xf>
    <xf numFmtId="173" fontId="4" fillId="5" borderId="1" xfId="4" applyNumberFormat="1" applyFont="1" applyFill="1" applyBorder="1" applyAlignment="1">
      <alignment horizontal="center"/>
    </xf>
    <xf numFmtId="174" fontId="4" fillId="5" borderId="1" xfId="4" applyNumberFormat="1" applyFont="1" applyFill="1" applyBorder="1" applyAlignment="1">
      <alignment horizontal="center"/>
    </xf>
    <xf numFmtId="0" fontId="3" fillId="5" borderId="1" xfId="5" applyFill="1" applyBorder="1" applyAlignment="1">
      <alignment horizontal="right"/>
    </xf>
    <xf numFmtId="0" fontId="4" fillId="5" borderId="1" xfId="7" applyFill="1" applyBorder="1" applyAlignment="1">
      <alignment horizontal="center"/>
    </xf>
    <xf numFmtId="0" fontId="4" fillId="5" borderId="25" xfId="7" applyFill="1" applyBorder="1" applyAlignment="1">
      <alignment horizontal="center"/>
    </xf>
    <xf numFmtId="0" fontId="3" fillId="5" borderId="21" xfId="0" applyFont="1" applyFill="1" applyBorder="1"/>
    <xf numFmtId="0" fontId="4" fillId="5" borderId="22" xfId="0" applyFont="1" applyFill="1" applyBorder="1"/>
    <xf numFmtId="0" fontId="4" fillId="5" borderId="4" xfId="0" applyFont="1" applyFill="1" applyBorder="1"/>
    <xf numFmtId="164" fontId="4" fillId="5" borderId="1" xfId="0" applyNumberFormat="1" applyFont="1" applyFill="1" applyBorder="1" applyAlignment="1">
      <alignment horizontal="center"/>
    </xf>
    <xf numFmtId="175" fontId="4" fillId="5" borderId="2" xfId="8" applyFont="1" applyFill="1" applyBorder="1" applyAlignment="1">
      <alignment horizontal="left"/>
    </xf>
    <xf numFmtId="175" fontId="4" fillId="5" borderId="4" xfId="8" applyFont="1" applyFill="1" applyBorder="1" applyAlignment="1">
      <alignment horizontal="left"/>
    </xf>
    <xf numFmtId="0" fontId="9" fillId="5" borderId="1" xfId="7" applyFont="1" applyFill="1" applyBorder="1" applyAlignment="1">
      <alignment horizontal="center"/>
    </xf>
    <xf numFmtId="15" fontId="27" fillId="0" borderId="8" xfId="0" applyNumberFormat="1" applyFont="1" applyBorder="1" applyAlignment="1" applyProtection="1">
      <alignment horizontal="center"/>
      <protection locked="0"/>
    </xf>
    <xf numFmtId="0" fontId="4" fillId="3" borderId="10" xfId="1" applyFont="1" applyFill="1" applyBorder="1" applyProtection="1">
      <protection locked="0"/>
    </xf>
    <xf numFmtId="0" fontId="4" fillId="3" borderId="11" xfId="1" applyFont="1" applyFill="1" applyBorder="1" applyProtection="1">
      <protection locked="0"/>
    </xf>
    <xf numFmtId="0" fontId="4" fillId="3" borderId="0" xfId="1" applyFont="1" applyFill="1" applyProtection="1">
      <protection locked="0"/>
    </xf>
    <xf numFmtId="0" fontId="4" fillId="3" borderId="12" xfId="1" applyFont="1" applyFill="1" applyBorder="1" applyProtection="1">
      <protection locked="0"/>
    </xf>
    <xf numFmtId="0" fontId="4" fillId="3" borderId="18" xfId="1" applyFont="1" applyFill="1" applyBorder="1" applyProtection="1">
      <protection locked="0"/>
    </xf>
    <xf numFmtId="0" fontId="4" fillId="3" borderId="19" xfId="1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9" fontId="4" fillId="3" borderId="18" xfId="1" applyNumberFormat="1" applyFont="1" applyFill="1" applyBorder="1" applyAlignment="1" applyProtection="1">
      <alignment horizontal="center"/>
      <protection locked="0"/>
    </xf>
    <xf numFmtId="171" fontId="6" fillId="0" borderId="0" xfId="0" applyNumberFormat="1" applyFont="1" applyAlignment="1" applyProtection="1">
      <alignment horizontal="right" indent="2"/>
      <protection locked="0"/>
    </xf>
    <xf numFmtId="164" fontId="3" fillId="5" borderId="1" xfId="0" applyNumberFormat="1" applyFont="1" applyFill="1" applyBorder="1" applyAlignment="1">
      <alignment horizontal="center"/>
    </xf>
    <xf numFmtId="175" fontId="4" fillId="5" borderId="21" xfId="8" applyFont="1" applyFill="1" applyBorder="1" applyAlignment="1">
      <alignment horizontal="left"/>
    </xf>
    <xf numFmtId="173" fontId="3" fillId="5" borderId="1" xfId="3" applyNumberFormat="1" applyFont="1" applyFill="1" applyBorder="1" applyAlignment="1" applyProtection="1">
      <alignment horizontal="center"/>
    </xf>
    <xf numFmtId="0" fontId="4" fillId="5" borderId="21" xfId="0" applyFont="1" applyFill="1" applyBorder="1"/>
    <xf numFmtId="173" fontId="0" fillId="5" borderId="1" xfId="0" applyNumberFormat="1" applyFill="1" applyBorder="1" applyAlignment="1">
      <alignment horizontal="center"/>
    </xf>
    <xf numFmtId="0" fontId="21" fillId="0" borderId="27" xfId="0" applyFont="1" applyBorder="1" applyAlignment="1" applyProtection="1">
      <alignment horizontal="center"/>
      <protection locked="0"/>
    </xf>
    <xf numFmtId="164" fontId="21" fillId="0" borderId="26" xfId="0" applyNumberFormat="1" applyFont="1" applyBorder="1" applyAlignment="1" applyProtection="1">
      <alignment horizontal="center"/>
      <protection locked="0"/>
    </xf>
    <xf numFmtId="1" fontId="4" fillId="5" borderId="25" xfId="0" applyNumberFormat="1" applyFont="1" applyFill="1" applyBorder="1" applyAlignment="1">
      <alignment horizontal="center"/>
    </xf>
    <xf numFmtId="174" fontId="21" fillId="0" borderId="27" xfId="3" applyNumberFormat="1" applyFont="1" applyFill="1" applyBorder="1" applyAlignment="1" applyProtection="1">
      <alignment horizontal="center"/>
      <protection locked="0"/>
    </xf>
    <xf numFmtId="173" fontId="21" fillId="0" borderId="26" xfId="3" applyNumberFormat="1" applyFont="1" applyFill="1" applyBorder="1" applyAlignment="1" applyProtection="1">
      <alignment horizontal="center"/>
      <protection locked="0"/>
    </xf>
    <xf numFmtId="173" fontId="21" fillId="0" borderId="25" xfId="3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0" fontId="4" fillId="4" borderId="0" xfId="0" applyFont="1" applyFill="1" applyAlignment="1">
      <alignment horizontal="right"/>
    </xf>
    <xf numFmtId="0" fontId="10" fillId="3" borderId="0" xfId="0" applyFont="1" applyFill="1"/>
    <xf numFmtId="0" fontId="30" fillId="0" borderId="6" xfId="0" applyFont="1" applyBorder="1" applyProtection="1">
      <protection locked="0"/>
    </xf>
    <xf numFmtId="0" fontId="29" fillId="3" borderId="7" xfId="0" applyFont="1" applyFill="1" applyBorder="1"/>
    <xf numFmtId="0" fontId="29" fillId="3" borderId="0" xfId="0" applyFont="1" applyFill="1"/>
    <xf numFmtId="0" fontId="9" fillId="3" borderId="0" xfId="0" applyFont="1" applyFill="1" applyAlignment="1">
      <alignment horizontal="right"/>
    </xf>
    <xf numFmtId="0" fontId="6" fillId="0" borderId="26" xfId="1" applyFont="1" applyBorder="1" applyAlignment="1" applyProtection="1">
      <alignment horizontal="center" wrapText="1"/>
      <protection locked="0"/>
    </xf>
    <xf numFmtId="0" fontId="6" fillId="0" borderId="4" xfId="1" applyFont="1" applyBorder="1" applyAlignment="1" applyProtection="1">
      <alignment horizontal="center"/>
      <protection locked="0"/>
    </xf>
    <xf numFmtId="0" fontId="3" fillId="3" borderId="0" xfId="1" applyFont="1" applyFill="1" applyAlignment="1">
      <alignment horizontal="center"/>
    </xf>
    <xf numFmtId="0" fontId="3" fillId="3" borderId="0" xfId="1" applyFont="1" applyFill="1" applyAlignment="1">
      <alignment horizontal="left"/>
    </xf>
    <xf numFmtId="0" fontId="3" fillId="3" borderId="0" xfId="1" applyFont="1" applyFill="1" applyAlignment="1">
      <alignment horizontal="right"/>
    </xf>
    <xf numFmtId="1" fontId="3" fillId="3" borderId="0" xfId="1" applyNumberFormat="1" applyFont="1" applyFill="1" applyAlignment="1">
      <alignment horizontal="left"/>
    </xf>
    <xf numFmtId="0" fontId="0" fillId="3" borderId="2" xfId="0" applyFill="1" applyBorder="1"/>
    <xf numFmtId="0" fontId="4" fillId="3" borderId="14" xfId="1" applyFont="1" applyFill="1" applyBorder="1" applyAlignment="1">
      <alignment horizontal="right"/>
    </xf>
    <xf numFmtId="0" fontId="4" fillId="3" borderId="15" xfId="1" applyFont="1" applyFill="1" applyBorder="1" applyAlignment="1">
      <alignment horizontal="center"/>
    </xf>
    <xf numFmtId="0" fontId="4" fillId="5" borderId="26" xfId="1" applyFont="1" applyFill="1" applyBorder="1" applyAlignment="1">
      <alignment horizontal="center" wrapText="1"/>
    </xf>
    <xf numFmtId="0" fontId="0" fillId="5" borderId="27" xfId="0" applyFill="1" applyBorder="1" applyAlignment="1">
      <alignment horizontal="center"/>
    </xf>
    <xf numFmtId="0" fontId="0" fillId="3" borderId="4" xfId="0" applyFill="1" applyBorder="1"/>
    <xf numFmtId="0" fontId="4" fillId="3" borderId="15" xfId="1" applyFont="1" applyFill="1" applyBorder="1" applyAlignment="1">
      <alignment horizontal="right"/>
    </xf>
    <xf numFmtId="0" fontId="4" fillId="3" borderId="26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4" fillId="5" borderId="26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4" fillId="5" borderId="15" xfId="1" applyFont="1" applyFill="1" applyBorder="1" applyAlignment="1">
      <alignment horizontal="center"/>
    </xf>
    <xf numFmtId="0" fontId="0" fillId="3" borderId="3" xfId="0" applyFill="1" applyBorder="1"/>
    <xf numFmtId="0" fontId="4" fillId="3" borderId="5" xfId="1" applyFont="1" applyFill="1" applyBorder="1" applyAlignment="1">
      <alignment horizontal="right"/>
    </xf>
    <xf numFmtId="1" fontId="4" fillId="3" borderId="15" xfId="1" applyNumberFormat="1" applyFont="1" applyFill="1" applyBorder="1" applyAlignment="1">
      <alignment horizontal="center"/>
    </xf>
    <xf numFmtId="1" fontId="4" fillId="5" borderId="15" xfId="1" applyNumberFormat="1" applyFont="1" applyFill="1" applyBorder="1" applyAlignment="1">
      <alignment horizontal="center"/>
    </xf>
    <xf numFmtId="0" fontId="4" fillId="3" borderId="2" xfId="1" applyFont="1" applyFill="1" applyBorder="1"/>
    <xf numFmtId="0" fontId="3" fillId="3" borderId="14" xfId="1" applyFont="1" applyFill="1" applyBorder="1"/>
    <xf numFmtId="0" fontId="3" fillId="5" borderId="21" xfId="1" applyFont="1" applyFill="1" applyBorder="1" applyAlignment="1">
      <alignment horizontal="left" indent="8"/>
    </xf>
    <xf numFmtId="0" fontId="4" fillId="5" borderId="22" xfId="1" applyFont="1" applyFill="1" applyBorder="1"/>
    <xf numFmtId="0" fontId="3" fillId="4" borderId="2" xfId="0" applyFont="1" applyFill="1" applyBorder="1" applyAlignment="1">
      <alignment horizontal="left" indent="5"/>
    </xf>
    <xf numFmtId="0" fontId="3" fillId="3" borderId="14" xfId="1" applyFont="1" applyFill="1" applyBorder="1" applyAlignment="1">
      <alignment horizontal="center"/>
    </xf>
    <xf numFmtId="0" fontId="3" fillId="5" borderId="4" xfId="0" applyFont="1" applyFill="1" applyBorder="1" applyAlignment="1">
      <alignment horizontal="left" indent="4"/>
    </xf>
    <xf numFmtId="0" fontId="3" fillId="5" borderId="15" xfId="1" applyFont="1" applyFill="1" applyBorder="1"/>
    <xf numFmtId="15" fontId="4" fillId="3" borderId="4" xfId="1" applyNumberFormat="1" applyFont="1" applyFill="1" applyBorder="1" applyAlignment="1">
      <alignment horizontal="center"/>
    </xf>
    <xf numFmtId="15" fontId="0" fillId="4" borderId="0" xfId="0" applyNumberFormat="1" applyFill="1" applyAlignment="1">
      <alignment horizontal="center"/>
    </xf>
    <xf numFmtId="15" fontId="3" fillId="5" borderId="15" xfId="1" applyNumberFormat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10" fillId="3" borderId="22" xfId="1" applyFont="1" applyFill="1" applyBorder="1" applyAlignment="1">
      <alignment horizontal="center"/>
    </xf>
    <xf numFmtId="15" fontId="10" fillId="3" borderId="26" xfId="1" applyNumberFormat="1" applyFont="1" applyFill="1" applyBorder="1" applyAlignment="1">
      <alignment horizontal="center"/>
    </xf>
    <xf numFmtId="15" fontId="10" fillId="3" borderId="15" xfId="1" applyNumberFormat="1" applyFont="1" applyFill="1" applyBorder="1" applyAlignment="1">
      <alignment horizontal="center"/>
    </xf>
    <xf numFmtId="1" fontId="10" fillId="3" borderId="1" xfId="1" applyNumberFormat="1" applyFont="1" applyFill="1" applyBorder="1" applyAlignment="1">
      <alignment horizontal="center"/>
    </xf>
    <xf numFmtId="0" fontId="9" fillId="3" borderId="7" xfId="0" applyFont="1" applyFill="1" applyBorder="1"/>
    <xf numFmtId="168" fontId="9" fillId="3" borderId="15" xfId="0" applyNumberFormat="1" applyFont="1" applyFill="1" applyBorder="1" applyAlignment="1">
      <alignment horizontal="left" indent="1"/>
    </xf>
    <xf numFmtId="0" fontId="9" fillId="3" borderId="8" xfId="0" applyFont="1" applyFill="1" applyBorder="1"/>
    <xf numFmtId="0" fontId="9" fillId="3" borderId="6" xfId="0" applyFont="1" applyFill="1" applyBorder="1" applyAlignment="1">
      <alignment horizontal="right"/>
    </xf>
    <xf numFmtId="168" fontId="9" fillId="3" borderId="5" xfId="0" applyNumberFormat="1" applyFont="1" applyFill="1" applyBorder="1" applyAlignment="1">
      <alignment horizontal="left" indent="1"/>
    </xf>
    <xf numFmtId="0" fontId="9" fillId="3" borderId="22" xfId="0" applyFont="1" applyFill="1" applyBorder="1"/>
    <xf numFmtId="0" fontId="9" fillId="3" borderId="26" xfId="0" applyFont="1" applyFill="1" applyBorder="1" applyAlignment="1">
      <alignment horizontal="left" indent="1"/>
    </xf>
    <xf numFmtId="0" fontId="9" fillId="3" borderId="25" xfId="0" applyFont="1" applyFill="1" applyBorder="1" applyAlignment="1">
      <alignment horizontal="left" indent="1"/>
    </xf>
    <xf numFmtId="172" fontId="6" fillId="0" borderId="0" xfId="0" applyNumberFormat="1" applyFont="1" applyProtection="1">
      <protection locked="0"/>
    </xf>
    <xf numFmtId="0" fontId="7" fillId="7" borderId="10" xfId="1" applyFont="1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4" fillId="7" borderId="18" xfId="1" applyFont="1" applyFill="1" applyBorder="1"/>
    <xf numFmtId="0" fontId="0" fillId="7" borderId="18" xfId="0" applyFill="1" applyBorder="1"/>
    <xf numFmtId="0" fontId="0" fillId="7" borderId="19" xfId="0" applyFill="1" applyBorder="1"/>
    <xf numFmtId="0" fontId="7" fillId="7" borderId="0" xfId="1" applyFont="1" applyFill="1"/>
    <xf numFmtId="0" fontId="0" fillId="7" borderId="0" xfId="0" applyFill="1"/>
    <xf numFmtId="0" fontId="32" fillId="7" borderId="0" xfId="10" applyFill="1" applyBorder="1"/>
    <xf numFmtId="0" fontId="4" fillId="7" borderId="0" xfId="1" applyFont="1" applyFill="1"/>
    <xf numFmtId="0" fontId="3" fillId="3" borderId="20" xfId="1" applyFont="1" applyFill="1" applyBorder="1" applyAlignment="1">
      <alignment horizontal="left" indent="5"/>
    </xf>
    <xf numFmtId="0" fontId="3" fillId="5" borderId="1" xfId="7" applyFont="1" applyFill="1" applyBorder="1" applyAlignment="1">
      <alignment horizontal="center"/>
    </xf>
    <xf numFmtId="0" fontId="3" fillId="5" borderId="1" xfId="7" applyFont="1" applyFill="1" applyBorder="1" applyAlignment="1">
      <alignment horizontal="right"/>
    </xf>
    <xf numFmtId="0" fontId="33" fillId="3" borderId="0" xfId="0" applyFont="1" applyFill="1"/>
    <xf numFmtId="0" fontId="1" fillId="5" borderId="0" xfId="11" applyFill="1"/>
    <xf numFmtId="0" fontId="1" fillId="0" borderId="0" xfId="11"/>
    <xf numFmtId="0" fontId="34" fillId="5" borderId="0" xfId="11" applyFont="1" applyFill="1" applyAlignment="1">
      <alignment vertical="center"/>
    </xf>
    <xf numFmtId="0" fontId="35" fillId="5" borderId="0" xfId="11" applyFont="1" applyFill="1"/>
    <xf numFmtId="0" fontId="35" fillId="5" borderId="0" xfId="11" applyFont="1" applyFill="1" applyAlignment="1">
      <alignment vertical="center"/>
    </xf>
    <xf numFmtId="0" fontId="37" fillId="5" borderId="0" xfId="12" applyFont="1" applyFill="1" applyBorder="1" applyAlignment="1">
      <alignment horizontal="left" vertical="center"/>
    </xf>
    <xf numFmtId="0" fontId="35" fillId="5" borderId="0" xfId="11" applyFont="1" applyFill="1" applyAlignment="1">
      <alignment horizontal="left" vertical="center" indent="3"/>
    </xf>
    <xf numFmtId="0" fontId="37" fillId="5" borderId="0" xfId="12" applyFont="1" applyFill="1" applyAlignment="1">
      <alignment horizontal="left"/>
    </xf>
    <xf numFmtId="0" fontId="37" fillId="5" borderId="0" xfId="12" applyFont="1" applyFill="1" applyBorder="1" applyAlignment="1">
      <alignment horizontal="left"/>
    </xf>
    <xf numFmtId="0" fontId="35" fillId="5" borderId="0" xfId="11" applyFont="1" applyFill="1" applyAlignment="1">
      <alignment horizontal="left" vertical="center" indent="4"/>
    </xf>
    <xf numFmtId="0" fontId="37" fillId="5" borderId="0" xfId="12" applyFont="1" applyFill="1" applyBorder="1"/>
    <xf numFmtId="0" fontId="35" fillId="5" borderId="0" xfId="11" applyFont="1" applyFill="1" applyAlignment="1">
      <alignment horizontal="left" vertical="top"/>
    </xf>
    <xf numFmtId="0" fontId="37" fillId="5" borderId="0" xfId="12" applyFont="1" applyFill="1" applyBorder="1" applyAlignment="1">
      <alignment vertical="top"/>
    </xf>
    <xf numFmtId="0" fontId="27" fillId="0" borderId="28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  <protection locked="0"/>
    </xf>
    <xf numFmtId="166" fontId="21" fillId="0" borderId="7" xfId="0" applyNumberFormat="1" applyFont="1" applyBorder="1" applyAlignment="1" applyProtection="1">
      <alignment horizontal="center"/>
      <protection locked="0"/>
    </xf>
    <xf numFmtId="166" fontId="21" fillId="0" borderId="4" xfId="0" applyNumberFormat="1" applyFont="1" applyBorder="1" applyAlignment="1" applyProtection="1">
      <alignment horizontal="center"/>
      <protection locked="0"/>
    </xf>
    <xf numFmtId="168" fontId="21" fillId="0" borderId="8" xfId="0" applyNumberFormat="1" applyFont="1" applyBorder="1" applyAlignment="1" applyProtection="1">
      <alignment horizontal="center"/>
      <protection locked="0"/>
    </xf>
    <xf numFmtId="168" fontId="21" fillId="0" borderId="3" xfId="0" applyNumberFormat="1" applyFont="1" applyBorder="1" applyAlignment="1" applyProtection="1">
      <alignment horizontal="center"/>
      <protection locked="0"/>
    </xf>
    <xf numFmtId="167" fontId="4" fillId="3" borderId="8" xfId="0" applyNumberFormat="1" applyFont="1" applyFill="1" applyBorder="1" applyAlignment="1">
      <alignment horizontal="center"/>
    </xf>
    <xf numFmtId="167" fontId="4" fillId="3" borderId="3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 indent="1"/>
    </xf>
    <xf numFmtId="1" fontId="9" fillId="3" borderId="7" xfId="0" applyNumberFormat="1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left" vertical="top" indent="1"/>
    </xf>
    <xf numFmtId="0" fontId="39" fillId="3" borderId="0" xfId="0" applyFont="1" applyFill="1" applyAlignment="1">
      <alignment horizontal="right"/>
    </xf>
    <xf numFmtId="0" fontId="39" fillId="3" borderId="18" xfId="0" applyFont="1" applyFill="1" applyBorder="1" applyAlignment="1">
      <alignment horizontal="right"/>
    </xf>
    <xf numFmtId="0" fontId="33" fillId="3" borderId="0" xfId="0" applyFont="1" applyFill="1" applyAlignment="1">
      <alignment horizontal="right"/>
    </xf>
    <xf numFmtId="0" fontId="33" fillId="3" borderId="0" xfId="0" applyFont="1" applyFill="1" applyAlignment="1">
      <alignment horizontal="left"/>
    </xf>
    <xf numFmtId="0" fontId="40" fillId="3" borderId="0" xfId="0" applyFont="1" applyFill="1"/>
    <xf numFmtId="0" fontId="41" fillId="3" borderId="0" xfId="0" applyFont="1" applyFill="1"/>
    <xf numFmtId="0" fontId="40" fillId="3" borderId="18" xfId="0" applyFont="1" applyFill="1" applyBorder="1"/>
    <xf numFmtId="0" fontId="42" fillId="7" borderId="20" xfId="1" applyFont="1" applyFill="1" applyBorder="1"/>
    <xf numFmtId="0" fontId="31" fillId="7" borderId="10" xfId="1" applyFont="1" applyFill="1" applyBorder="1"/>
    <xf numFmtId="0" fontId="43" fillId="7" borderId="7" xfId="1" applyFont="1" applyFill="1" applyBorder="1"/>
    <xf numFmtId="0" fontId="31" fillId="7" borderId="0" xfId="1" applyFont="1" applyFill="1"/>
    <xf numFmtId="0" fontId="31" fillId="7" borderId="7" xfId="1" applyFont="1" applyFill="1" applyBorder="1"/>
    <xf numFmtId="0" fontId="31" fillId="7" borderId="17" xfId="1" applyFont="1" applyFill="1" applyBorder="1"/>
    <xf numFmtId="0" fontId="31" fillId="7" borderId="18" xfId="1" applyFont="1" applyFill="1" applyBorder="1"/>
    <xf numFmtId="0" fontId="31" fillId="7" borderId="8" xfId="1" applyFont="1" applyFill="1" applyBorder="1"/>
    <xf numFmtId="0" fontId="31" fillId="7" borderId="6" xfId="1" applyFont="1" applyFill="1" applyBorder="1"/>
    <xf numFmtId="0" fontId="7" fillId="7" borderId="6" xfId="1" applyFont="1" applyFill="1" applyBorder="1"/>
    <xf numFmtId="0" fontId="0" fillId="7" borderId="6" xfId="0" applyFill="1" applyBorder="1"/>
    <xf numFmtId="0" fontId="0" fillId="7" borderId="16" xfId="0" applyFill="1" applyBorder="1"/>
    <xf numFmtId="0" fontId="4" fillId="7" borderId="6" xfId="1" applyFont="1" applyFill="1" applyBorder="1"/>
    <xf numFmtId="0" fontId="43" fillId="7" borderId="10" xfId="1" applyFont="1" applyFill="1" applyBorder="1"/>
    <xf numFmtId="0" fontId="45" fillId="5" borderId="0" xfId="0" applyFont="1" applyFill="1" applyAlignment="1">
      <alignment horizontal="left" vertical="center" readingOrder="1"/>
    </xf>
    <xf numFmtId="0" fontId="45" fillId="5" borderId="0" xfId="0" applyFont="1" applyFill="1" applyAlignment="1">
      <alignment horizontal="left" vertical="center" indent="2" readingOrder="1"/>
    </xf>
    <xf numFmtId="0" fontId="47" fillId="5" borderId="0" xfId="11" applyFont="1" applyFill="1"/>
    <xf numFmtId="0" fontId="46" fillId="5" borderId="0" xfId="0" applyFont="1" applyFill="1" applyAlignment="1">
      <alignment horizontal="left" vertical="center" readingOrder="1"/>
    </xf>
    <xf numFmtId="0" fontId="0" fillId="8" borderId="0" xfId="0" applyFill="1"/>
    <xf numFmtId="0" fontId="48" fillId="8" borderId="0" xfId="0" applyFont="1" applyFill="1" applyAlignment="1">
      <alignment horizontal="left" vertical="center" readingOrder="1"/>
    </xf>
    <xf numFmtId="0" fontId="42" fillId="8" borderId="2" xfId="11" applyFont="1" applyFill="1" applyBorder="1"/>
    <xf numFmtId="0" fontId="0" fillId="8" borderId="14" xfId="0" applyFill="1" applyBorder="1"/>
    <xf numFmtId="0" fontId="4" fillId="8" borderId="4" xfId="0" applyFont="1" applyFill="1" applyBorder="1" applyAlignment="1">
      <alignment horizontal="left" vertical="center" readingOrder="1"/>
    </xf>
    <xf numFmtId="0" fontId="0" fillId="8" borderId="15" xfId="0" applyFill="1" applyBorder="1"/>
    <xf numFmtId="0" fontId="4" fillId="8" borderId="4" xfId="0" applyFont="1" applyFill="1" applyBorder="1" applyAlignment="1">
      <alignment horizontal="left" vertical="center" indent="2" readingOrder="1"/>
    </xf>
    <xf numFmtId="0" fontId="4" fillId="8" borderId="3" xfId="0" applyFont="1" applyFill="1" applyBorder="1" applyAlignment="1">
      <alignment horizontal="left" vertical="center" indent="2" readingOrder="1"/>
    </xf>
    <xf numFmtId="0" fontId="0" fillId="8" borderId="5" xfId="0" applyFill="1" applyBorder="1"/>
    <xf numFmtId="0" fontId="44" fillId="3" borderId="0" xfId="0" applyFont="1" applyFill="1"/>
    <xf numFmtId="0" fontId="38" fillId="3" borderId="0" xfId="0" applyFont="1" applyFill="1"/>
    <xf numFmtId="0" fontId="49" fillId="4" borderId="0" xfId="10" applyFont="1" applyFill="1"/>
    <xf numFmtId="0" fontId="50" fillId="3" borderId="0" xfId="0" applyFont="1" applyFill="1" applyAlignment="1">
      <alignment horizontal="right"/>
    </xf>
    <xf numFmtId="0" fontId="9" fillId="3" borderId="3" xfId="0" applyFont="1" applyFill="1" applyBorder="1" applyAlignment="1">
      <alignment horizontal="right"/>
    </xf>
    <xf numFmtId="0" fontId="0" fillId="3" borderId="30" xfId="0" applyFill="1" applyBorder="1"/>
    <xf numFmtId="0" fontId="4" fillId="3" borderId="31" xfId="1" applyFont="1" applyFill="1" applyBorder="1" applyAlignment="1">
      <alignment horizontal="right"/>
    </xf>
    <xf numFmtId="1" fontId="4" fillId="3" borderId="29" xfId="1" applyNumberFormat="1" applyFont="1" applyFill="1" applyBorder="1" applyAlignment="1">
      <alignment horizontal="center"/>
    </xf>
    <xf numFmtId="1" fontId="4" fillId="3" borderId="31" xfId="1" applyNumberFormat="1" applyFont="1" applyFill="1" applyBorder="1" applyAlignment="1">
      <alignment horizontal="center"/>
    </xf>
    <xf numFmtId="0" fontId="4" fillId="5" borderId="29" xfId="1" applyFont="1" applyFill="1" applyBorder="1" applyAlignment="1">
      <alignment horizontal="center"/>
    </xf>
    <xf numFmtId="1" fontId="4" fillId="5" borderId="31" xfId="1" applyNumberFormat="1" applyFont="1" applyFill="1" applyBorder="1" applyAlignment="1">
      <alignment horizontal="center"/>
    </xf>
    <xf numFmtId="1" fontId="3" fillId="3" borderId="32" xfId="1" applyNumberFormat="1" applyFont="1" applyFill="1" applyBorder="1" applyAlignment="1">
      <alignment horizontal="center"/>
    </xf>
    <xf numFmtId="0" fontId="3" fillId="3" borderId="32" xfId="1" applyFont="1" applyFill="1" applyBorder="1" applyAlignment="1">
      <alignment horizontal="center"/>
    </xf>
    <xf numFmtId="1" fontId="3" fillId="5" borderId="32" xfId="1" applyNumberFormat="1" applyFont="1" applyFill="1" applyBorder="1" applyAlignment="1">
      <alignment horizontal="center"/>
    </xf>
    <xf numFmtId="0" fontId="3" fillId="5" borderId="32" xfId="1" applyFont="1" applyFill="1" applyBorder="1" applyAlignment="1">
      <alignment horizontal="center"/>
    </xf>
    <xf numFmtId="0" fontId="4" fillId="3" borderId="6" xfId="1" applyFont="1" applyFill="1" applyBorder="1" applyProtection="1">
      <protection locked="0"/>
    </xf>
    <xf numFmtId="0" fontId="4" fillId="3" borderId="25" xfId="1" applyFont="1" applyFill="1" applyBorder="1" applyProtection="1">
      <protection locked="0"/>
    </xf>
    <xf numFmtId="0" fontId="4" fillId="3" borderId="2" xfId="1" applyFont="1" applyFill="1" applyBorder="1" applyAlignment="1">
      <alignment horizontal="left" indent="1"/>
    </xf>
    <xf numFmtId="0" fontId="4" fillId="3" borderId="4" xfId="1" applyFont="1" applyFill="1" applyBorder="1" applyAlignment="1">
      <alignment horizontal="left" indent="1"/>
    </xf>
    <xf numFmtId="0" fontId="4" fillId="3" borderId="0" xfId="1" applyFont="1" applyFill="1" applyBorder="1" applyProtection="1">
      <protection locked="0"/>
    </xf>
    <xf numFmtId="0" fontId="3" fillId="3" borderId="33" xfId="1" applyFont="1" applyFill="1" applyBorder="1" applyAlignment="1">
      <alignment horizontal="center"/>
    </xf>
    <xf numFmtId="0" fontId="0" fillId="3" borderId="20" xfId="0" applyFill="1" applyBorder="1"/>
    <xf numFmtId="0" fontId="4" fillId="3" borderId="10" xfId="1" applyFont="1" applyFill="1" applyBorder="1" applyAlignment="1">
      <alignment horizontal="right"/>
    </xf>
    <xf numFmtId="0" fontId="3" fillId="3" borderId="11" xfId="1" applyFont="1" applyFill="1" applyBorder="1" applyAlignment="1">
      <alignment horizontal="right"/>
    </xf>
    <xf numFmtId="0" fontId="4" fillId="3" borderId="18" xfId="1" applyFont="1" applyFill="1" applyBorder="1" applyAlignment="1">
      <alignment horizontal="right"/>
    </xf>
    <xf numFmtId="0" fontId="3" fillId="3" borderId="19" xfId="1" applyFont="1" applyFill="1" applyBorder="1" applyAlignment="1">
      <alignment horizontal="right"/>
    </xf>
    <xf numFmtId="0" fontId="3" fillId="3" borderId="20" xfId="1" applyFont="1" applyFill="1" applyBorder="1" applyAlignment="1">
      <alignment horizontal="left" indent="1"/>
    </xf>
    <xf numFmtId="0" fontId="3" fillId="3" borderId="17" xfId="1" applyFont="1" applyFill="1" applyBorder="1" applyAlignment="1">
      <alignment horizontal="left" indent="1"/>
    </xf>
    <xf numFmtId="0" fontId="4" fillId="3" borderId="16" xfId="1" applyFont="1" applyFill="1" applyBorder="1" applyProtection="1">
      <protection locked="0"/>
    </xf>
    <xf numFmtId="0" fontId="4" fillId="0" borderId="7" xfId="1" applyFont="1" applyFill="1" applyBorder="1"/>
    <xf numFmtId="0" fontId="0" fillId="0" borderId="0" xfId="0" applyFill="1"/>
    <xf numFmtId="0" fontId="4" fillId="3" borderId="3" xfId="1" applyFont="1" applyFill="1" applyBorder="1" applyAlignment="1">
      <alignment horizontal="left" indent="1"/>
    </xf>
    <xf numFmtId="9" fontId="3" fillId="3" borderId="32" xfId="9" applyFont="1" applyFill="1" applyBorder="1" applyAlignment="1" applyProtection="1">
      <alignment horizontal="center"/>
    </xf>
    <xf numFmtId="9" fontId="21" fillId="0" borderId="14" xfId="0" applyNumberFormat="1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8" fontId="21" fillId="0" borderId="5" xfId="0" applyNumberFormat="1" applyFont="1" applyBorder="1" applyAlignment="1" applyProtection="1">
      <alignment horizontal="center"/>
      <protection locked="0"/>
    </xf>
    <xf numFmtId="166" fontId="4" fillId="3" borderId="15" xfId="0" applyNumberFormat="1" applyFont="1" applyFill="1" applyBorder="1" applyAlignment="1">
      <alignment horizontal="center"/>
    </xf>
    <xf numFmtId="38" fontId="4" fillId="3" borderId="15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 indent="4"/>
    </xf>
    <xf numFmtId="0" fontId="51" fillId="3" borderId="6" xfId="0" applyFont="1" applyFill="1" applyBorder="1"/>
    <xf numFmtId="171" fontId="51" fillId="3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3" borderId="6" xfId="0" applyFont="1" applyFill="1" applyBorder="1"/>
  </cellXfs>
  <cellStyles count="13">
    <cellStyle name="Arial  - Style1" xfId="6" xr:uid="{363A8831-D0CC-4C29-B41E-766C75176F66}"/>
    <cellStyle name="Bold A - Style3" xfId="5" xr:uid="{86E2F949-1630-4B8E-9C81-7B9A1006ED0C}"/>
    <cellStyle name="Currency" xfId="3" builtinId="4"/>
    <cellStyle name="Hyperlink" xfId="10" builtinId="8"/>
    <cellStyle name="Hyperlink 2" xfId="12" xr:uid="{23F2E2F5-0949-43D3-82D5-B416170E3DCA}"/>
    <cellStyle name="Normal" xfId="0" builtinId="0"/>
    <cellStyle name="Normal 2" xfId="7" xr:uid="{8C0609AF-40A4-474D-B2CD-F02A9CF57D08}"/>
    <cellStyle name="Normal 3" xfId="4" xr:uid="{8B6F287B-8A41-4034-95C4-51D99DB3BCD3}"/>
    <cellStyle name="Normal 4" xfId="11" xr:uid="{381DF2A1-F068-4AE5-8E88-A9CCFE2A23C9}"/>
    <cellStyle name="Normal_AGIST" xfId="8" xr:uid="{2E2BEE78-776C-4FAD-943E-CF84161B921B}"/>
    <cellStyle name="Normal_Sell or feed new" xfId="1" xr:uid="{FEE2DA86-BA41-4261-A1B8-6BB25FC87305}"/>
    <cellStyle name="Normal_TMO - 17 1 11" xfId="2" xr:uid="{12BF4730-9954-4DE7-89B2-EEA847D3BF06}"/>
    <cellStyle name="Percent" xfId="9" builtinId="5"/>
  </cellStyles>
  <dxfs count="8">
    <dxf>
      <fill>
        <patternFill>
          <bgColor rgb="FFCCFFCC"/>
        </patternFill>
      </fill>
    </dxf>
    <dxf>
      <fill>
        <patternFill>
          <bgColor theme="9" tint="0.79998168889431442"/>
        </patternFill>
      </fill>
    </dxf>
    <dxf>
      <font>
        <b/>
        <i val="0"/>
        <color auto="1"/>
      </font>
      <fill>
        <patternFill>
          <bgColor rgb="FFCC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ill>
        <patternFill>
          <bgColor rgb="FFCCFFCC"/>
        </patternFill>
      </fill>
    </dxf>
  </dxfs>
  <tableStyles count="1" defaultTableStyle="TableStyleMedium9" defaultPivotStyle="PivotStyleLight16">
    <tableStyle name="Invisible" pivot="0" table="0" count="0" xr9:uid="{9CE533B1-343F-477A-9B67-8F59B91DCE81}"/>
  </tableStyles>
  <colors>
    <mruColors>
      <color rgb="FFFFFFCC"/>
      <color rgb="FF0000FF"/>
      <color rgb="FF800000"/>
      <color rgb="FF0033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600806</xdr:colOff>
      <xdr:row>11</xdr:row>
      <xdr:rowOff>28575</xdr:rowOff>
    </xdr:from>
    <xdr:to>
      <xdr:col>5</xdr:col>
      <xdr:colOff>962024</xdr:colOff>
      <xdr:row>12</xdr:row>
      <xdr:rowOff>87922</xdr:rowOff>
    </xdr:to>
    <xdr:sp macro="" textlink="">
      <xdr:nvSpPr>
        <xdr:cNvPr id="212068" name="Line 1">
          <a:extLst>
            <a:ext uri="{FF2B5EF4-FFF2-40B4-BE49-F238E27FC236}">
              <a16:creationId xmlns:a16="http://schemas.microsoft.com/office/drawing/2014/main" id="{96C1038E-78BE-10F9-B871-EBFDCABD31CA}"/>
            </a:ext>
          </a:extLst>
        </xdr:cNvPr>
        <xdr:cNvSpPr>
          <a:spLocks noChangeShapeType="1"/>
        </xdr:cNvSpPr>
      </xdr:nvSpPr>
      <xdr:spPr bwMode="auto">
        <a:xfrm flipH="1">
          <a:off x="4153631" y="1876425"/>
          <a:ext cx="1132743" cy="2212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971549</xdr:colOff>
      <xdr:row>11</xdr:row>
      <xdr:rowOff>28575</xdr:rowOff>
    </xdr:from>
    <xdr:to>
      <xdr:col>6</xdr:col>
      <xdr:colOff>278422</xdr:colOff>
      <xdr:row>12</xdr:row>
      <xdr:rowOff>73270</xdr:rowOff>
    </xdr:to>
    <xdr:sp macro="" textlink="">
      <xdr:nvSpPr>
        <xdr:cNvPr id="212069" name="Line 2">
          <a:extLst>
            <a:ext uri="{FF2B5EF4-FFF2-40B4-BE49-F238E27FC236}">
              <a16:creationId xmlns:a16="http://schemas.microsoft.com/office/drawing/2014/main" id="{A800E9ED-8020-89EC-DB56-C16384A52027}"/>
            </a:ext>
          </a:extLst>
        </xdr:cNvPr>
        <xdr:cNvSpPr>
          <a:spLocks noChangeShapeType="1"/>
        </xdr:cNvSpPr>
      </xdr:nvSpPr>
      <xdr:spPr bwMode="auto">
        <a:xfrm>
          <a:off x="5295899" y="1876425"/>
          <a:ext cx="1249973" cy="206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587616</xdr:colOff>
      <xdr:row>12</xdr:row>
      <xdr:rowOff>246185</xdr:rowOff>
    </xdr:from>
    <xdr:to>
      <xdr:col>4</xdr:col>
      <xdr:colOff>587616</xdr:colOff>
      <xdr:row>20</xdr:row>
      <xdr:rowOff>113567</xdr:rowOff>
    </xdr:to>
    <xdr:sp macro="" textlink="">
      <xdr:nvSpPr>
        <xdr:cNvPr id="212070" name="Line 3">
          <a:extLst>
            <a:ext uri="{FF2B5EF4-FFF2-40B4-BE49-F238E27FC236}">
              <a16:creationId xmlns:a16="http://schemas.microsoft.com/office/drawing/2014/main" id="{D99FFEA0-A5D0-DC8C-1962-05DC409B1F97}"/>
            </a:ext>
          </a:extLst>
        </xdr:cNvPr>
        <xdr:cNvSpPr>
          <a:spLocks noChangeShapeType="1"/>
        </xdr:cNvSpPr>
      </xdr:nvSpPr>
      <xdr:spPr bwMode="auto">
        <a:xfrm>
          <a:off x="3892058" y="2217127"/>
          <a:ext cx="0" cy="140603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337038</xdr:colOff>
      <xdr:row>13</xdr:row>
      <xdr:rowOff>14653</xdr:rowOff>
    </xdr:from>
    <xdr:to>
      <xdr:col>6</xdr:col>
      <xdr:colOff>353158</xdr:colOff>
      <xdr:row>21</xdr:row>
      <xdr:rowOff>733</xdr:rowOff>
    </xdr:to>
    <xdr:sp macro="" textlink="">
      <xdr:nvSpPr>
        <xdr:cNvPr id="212071" name="Line 4">
          <a:extLst>
            <a:ext uri="{FF2B5EF4-FFF2-40B4-BE49-F238E27FC236}">
              <a16:creationId xmlns:a16="http://schemas.microsoft.com/office/drawing/2014/main" id="{741853FB-96FA-1263-B752-9DD20836CBDF}"/>
            </a:ext>
          </a:extLst>
        </xdr:cNvPr>
        <xdr:cNvSpPr>
          <a:spLocks noChangeShapeType="1"/>
        </xdr:cNvSpPr>
      </xdr:nvSpPr>
      <xdr:spPr bwMode="auto">
        <a:xfrm>
          <a:off x="5861538" y="2242038"/>
          <a:ext cx="16120" cy="142948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646872</xdr:colOff>
      <xdr:row>22</xdr:row>
      <xdr:rowOff>955</xdr:rowOff>
    </xdr:from>
    <xdr:to>
      <xdr:col>6</xdr:col>
      <xdr:colOff>37272</xdr:colOff>
      <xdr:row>22</xdr:row>
      <xdr:rowOff>10480</xdr:rowOff>
    </xdr:to>
    <xdr:sp macro="" textlink="">
      <xdr:nvSpPr>
        <xdr:cNvPr id="212072" name="Line 95">
          <a:extLst>
            <a:ext uri="{FF2B5EF4-FFF2-40B4-BE49-F238E27FC236}">
              <a16:creationId xmlns:a16="http://schemas.microsoft.com/office/drawing/2014/main" id="{0F1E686A-C677-FA10-3902-7CE955A4826D}"/>
            </a:ext>
          </a:extLst>
        </xdr:cNvPr>
        <xdr:cNvSpPr>
          <a:spLocks noChangeShapeType="1"/>
        </xdr:cNvSpPr>
      </xdr:nvSpPr>
      <xdr:spPr bwMode="auto">
        <a:xfrm>
          <a:off x="4324987" y="3781647"/>
          <a:ext cx="2101362" cy="9525"/>
        </a:xfrm>
        <a:prstGeom prst="line">
          <a:avLst/>
        </a:prstGeom>
        <a:noFill/>
        <a:ln w="12700">
          <a:solidFill>
            <a:srgbClr val="000000"/>
          </a:solidFill>
          <a:round/>
          <a:headEnd type="stealth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937847</xdr:colOff>
      <xdr:row>41</xdr:row>
      <xdr:rowOff>73269</xdr:rowOff>
    </xdr:from>
    <xdr:to>
      <xdr:col>5</xdr:col>
      <xdr:colOff>945990</xdr:colOff>
      <xdr:row>44</xdr:row>
      <xdr:rowOff>104775</xdr:rowOff>
    </xdr:to>
    <xdr:sp macro="" textlink="">
      <xdr:nvSpPr>
        <xdr:cNvPr id="212073" name="Line 4">
          <a:extLst>
            <a:ext uri="{FF2B5EF4-FFF2-40B4-BE49-F238E27FC236}">
              <a16:creationId xmlns:a16="http://schemas.microsoft.com/office/drawing/2014/main" id="{70E56515-7D82-D965-F32D-3FBA5DC9DBF7}"/>
            </a:ext>
          </a:extLst>
        </xdr:cNvPr>
        <xdr:cNvSpPr>
          <a:spLocks noChangeShapeType="1"/>
        </xdr:cNvSpPr>
      </xdr:nvSpPr>
      <xdr:spPr bwMode="auto">
        <a:xfrm>
          <a:off x="5385289" y="7129096"/>
          <a:ext cx="8143" cy="595679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941328</xdr:colOff>
      <xdr:row>68</xdr:row>
      <xdr:rowOff>170212</xdr:rowOff>
    </xdr:from>
    <xdr:to>
      <xdr:col>5</xdr:col>
      <xdr:colOff>941328</xdr:colOff>
      <xdr:row>70</xdr:row>
      <xdr:rowOff>122587</xdr:rowOff>
    </xdr:to>
    <xdr:sp macro="" textlink="">
      <xdr:nvSpPr>
        <xdr:cNvPr id="212074" name="Line 4">
          <a:extLst>
            <a:ext uri="{FF2B5EF4-FFF2-40B4-BE49-F238E27FC236}">
              <a16:creationId xmlns:a16="http://schemas.microsoft.com/office/drawing/2014/main" id="{2A796FA6-8671-8E9A-8267-4949B2839F6F}"/>
            </a:ext>
          </a:extLst>
        </xdr:cNvPr>
        <xdr:cNvSpPr>
          <a:spLocks noChangeShapeType="1"/>
        </xdr:cNvSpPr>
      </xdr:nvSpPr>
      <xdr:spPr bwMode="auto">
        <a:xfrm flipH="1">
          <a:off x="5389089" y="12536147"/>
          <a:ext cx="0" cy="31681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819150</xdr:colOff>
      <xdr:row>27</xdr:row>
      <xdr:rowOff>104775</xdr:rowOff>
    </xdr:from>
    <xdr:to>
      <xdr:col>3</xdr:col>
      <xdr:colOff>104775</xdr:colOff>
      <xdr:row>27</xdr:row>
      <xdr:rowOff>104775</xdr:rowOff>
    </xdr:to>
    <xdr:sp macro="" textlink="">
      <xdr:nvSpPr>
        <xdr:cNvPr id="212075" name="Line 1">
          <a:extLst>
            <a:ext uri="{FF2B5EF4-FFF2-40B4-BE49-F238E27FC236}">
              <a16:creationId xmlns:a16="http://schemas.microsoft.com/office/drawing/2014/main" id="{FD1DBFE1-BAB2-7274-DA7F-6C86E6982E3D}"/>
            </a:ext>
          </a:extLst>
        </xdr:cNvPr>
        <xdr:cNvSpPr>
          <a:spLocks noChangeShapeType="1"/>
        </xdr:cNvSpPr>
      </xdr:nvSpPr>
      <xdr:spPr bwMode="auto">
        <a:xfrm flipH="1" flipV="1">
          <a:off x="1895475" y="466725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933450</xdr:colOff>
      <xdr:row>13</xdr:row>
      <xdr:rowOff>104775</xdr:rowOff>
    </xdr:from>
    <xdr:to>
      <xdr:col>3</xdr:col>
      <xdr:colOff>419100</xdr:colOff>
      <xdr:row>13</xdr:row>
      <xdr:rowOff>104775</xdr:rowOff>
    </xdr:to>
    <xdr:sp macro="" textlink="">
      <xdr:nvSpPr>
        <xdr:cNvPr id="212076" name="Line 1">
          <a:extLst>
            <a:ext uri="{FF2B5EF4-FFF2-40B4-BE49-F238E27FC236}">
              <a16:creationId xmlns:a16="http://schemas.microsoft.com/office/drawing/2014/main" id="{695647D1-2410-C2C5-E1D0-57B8B35B813A}"/>
            </a:ext>
          </a:extLst>
        </xdr:cNvPr>
        <xdr:cNvSpPr>
          <a:spLocks noChangeShapeType="1"/>
        </xdr:cNvSpPr>
      </xdr:nvSpPr>
      <xdr:spPr bwMode="auto">
        <a:xfrm>
          <a:off x="2009775" y="2371725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956</xdr:colOff>
      <xdr:row>1</xdr:row>
      <xdr:rowOff>196267</xdr:rowOff>
    </xdr:from>
    <xdr:to>
      <xdr:col>4</xdr:col>
      <xdr:colOff>1</xdr:colOff>
      <xdr:row>4</xdr:row>
      <xdr:rowOff>149087</xdr:rowOff>
    </xdr:to>
    <xdr:sp macro="" textlink="">
      <xdr:nvSpPr>
        <xdr:cNvPr id="90935" name="TextBox 11">
          <a:extLst>
            <a:ext uri="{FF2B5EF4-FFF2-40B4-BE49-F238E27FC236}">
              <a16:creationId xmlns:a16="http://schemas.microsoft.com/office/drawing/2014/main" id="{73B9D0AB-7981-1A95-D82D-8AE3D31D2B22}"/>
            </a:ext>
          </a:extLst>
        </xdr:cNvPr>
        <xdr:cNvSpPr txBox="1">
          <a:spLocks noChangeArrowheads="1"/>
        </xdr:cNvSpPr>
      </xdr:nvSpPr>
      <xdr:spPr bwMode="auto">
        <a:xfrm>
          <a:off x="166608" y="295658"/>
          <a:ext cx="3138154" cy="565733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The State of Queensland accepts no responsibility for decisions or actions  taken as a result of any data, information, statement or advice, expressed or implied, contained in, or derived from these spreadsheets. </a:t>
          </a:r>
        </a:p>
      </xdr:txBody>
    </xdr:sp>
    <xdr:clientData/>
  </xdr:twoCellAnchor>
  <xdr:twoCellAnchor>
    <xdr:from>
      <xdr:col>7</xdr:col>
      <xdr:colOff>347869</xdr:colOff>
      <xdr:row>1</xdr:row>
      <xdr:rowOff>20704</xdr:rowOff>
    </xdr:from>
    <xdr:to>
      <xdr:col>10</xdr:col>
      <xdr:colOff>318466</xdr:colOff>
      <xdr:row>2</xdr:row>
      <xdr:rowOff>173935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6DD1795-3387-BFEB-1BCC-1776C77C7D1F}"/>
            </a:ext>
          </a:extLst>
        </xdr:cNvPr>
        <xdr:cNvSpPr txBox="1"/>
      </xdr:nvSpPr>
      <xdr:spPr>
        <a:xfrm>
          <a:off x="6907695" y="120095"/>
          <a:ext cx="2720423" cy="352014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lnSpc>
              <a:spcPts val="800"/>
            </a:lnSpc>
            <a:defRPr sz="1000"/>
          </a:pPr>
          <a:r>
            <a:rPr lang="en-A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The data provided here is an example only and should be revised to reflect your particular situation.</a:t>
          </a:r>
        </a:p>
      </xdr:txBody>
    </xdr:sp>
    <xdr:clientData/>
  </xdr:twoCellAnchor>
  <xdr:twoCellAnchor editAs="oneCell">
    <xdr:from>
      <xdr:col>11</xdr:col>
      <xdr:colOff>200024</xdr:colOff>
      <xdr:row>1</xdr:row>
      <xdr:rowOff>9525</xdr:rowOff>
    </xdr:from>
    <xdr:to>
      <xdr:col>11</xdr:col>
      <xdr:colOff>761999</xdr:colOff>
      <xdr:row>4</xdr:row>
      <xdr:rowOff>83736</xdr:rowOff>
    </xdr:to>
    <xdr:pic>
      <xdr:nvPicPr>
        <xdr:cNvPr id="212079" name="Picture 4" descr="Qld-CoA-Stylised-2LS-mono.jpg">
          <a:extLst>
            <a:ext uri="{FF2B5EF4-FFF2-40B4-BE49-F238E27FC236}">
              <a16:creationId xmlns:a16="http://schemas.microsoft.com/office/drawing/2014/main" id="{DB57B2C1-D417-825E-0693-EAB4B672A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199" y="104775"/>
          <a:ext cx="561975" cy="626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935934</xdr:colOff>
      <xdr:row>32</xdr:row>
      <xdr:rowOff>8284</xdr:rowOff>
    </xdr:from>
    <xdr:to>
      <xdr:col>5</xdr:col>
      <xdr:colOff>940851</xdr:colOff>
      <xdr:row>35</xdr:row>
      <xdr:rowOff>57151</xdr:rowOff>
    </xdr:to>
    <xdr:sp macro="" textlink="">
      <xdr:nvSpPr>
        <xdr:cNvPr id="212080" name="Line 4">
          <a:extLst>
            <a:ext uri="{FF2B5EF4-FFF2-40B4-BE49-F238E27FC236}">
              <a16:creationId xmlns:a16="http://schemas.microsoft.com/office/drawing/2014/main" id="{9F7F0A22-81BA-9EAA-DECB-778AE125C98C}"/>
            </a:ext>
          </a:extLst>
        </xdr:cNvPr>
        <xdr:cNvSpPr>
          <a:spLocks noChangeShapeType="1"/>
        </xdr:cNvSpPr>
      </xdr:nvSpPr>
      <xdr:spPr bwMode="auto">
        <a:xfrm>
          <a:off x="5383695" y="5565914"/>
          <a:ext cx="4917" cy="545824"/>
        </a:xfrm>
        <a:prstGeom prst="line">
          <a:avLst/>
        </a:prstGeom>
        <a:noFill/>
        <a:ln w="38100">
          <a:solidFill>
            <a:srgbClr val="A6A6A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eef%20Management\Drought\Mgt%20&amp;%20economics\fogbudYIY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eef%20Management\Drought\Mgt%20&amp;%20economics\AAQEQT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age"/>
      <sheetName val="INPUTS1"/>
      <sheetName val="ASSUMPTIONS"/>
      <sheetName val="SOP"/>
      <sheetName val="DEBTS"/>
      <sheetName val="STOCK"/>
      <sheetName val="INCOME"/>
      <sheetName val="EXPENSES"/>
      <sheetName val="Results"/>
      <sheetName val="Summary"/>
      <sheetName val="Balsheet"/>
      <sheetName val="SummaryCFlow"/>
      <sheetName val="DebtsSumm"/>
      <sheetName val="MACHINERY"/>
      <sheetName val="Cattle"/>
      <sheetName val="TAX"/>
      <sheetName val="CropsGM"/>
      <sheetName val="CROPSCHED"/>
      <sheetName val="PostDebtService"/>
      <sheetName val="wool"/>
      <sheetName val="MilkPrice"/>
      <sheetName val="Milk"/>
      <sheetName val="budget"/>
      <sheetName val="Viability"/>
      <sheetName val="Improve"/>
      <sheetName val="loan"/>
      <sheetName val="piecharts"/>
      <sheetName val="Debt"/>
      <sheetName val="Chart"/>
      <sheetName val="Restruct"/>
      <sheetName val="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ETY"/>
      <sheetName val="AAQEQTY"/>
      <sheetName val="sop"/>
      <sheetName val="AAQRADJ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uturebeef.com.au/resources/beef-business-tools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futurebeef.com.au/resources/agistment-calculator/" TargetMode="External"/><Relationship Id="rId1" Type="http://schemas.openxmlformats.org/officeDocument/2006/relationships/hyperlink" Target="https://www.business.qld.gov.au/industries/farms-fishing-forestry/agriculture/animal/health/welfare/qld/act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sq.org.au/" TargetMode="External"/><Relationship Id="rId13" Type="http://schemas.openxmlformats.org/officeDocument/2006/relationships/hyperlink" Target="https://nacp.org.au/greendate/" TargetMode="External"/><Relationship Id="rId18" Type="http://schemas.openxmlformats.org/officeDocument/2006/relationships/hyperlink" Target="https://futurebeef.com.au/wp-content/uploads/2023/09/Implementing-wet-season-spelling-to-improve-and-recover-pasture-condition-MLA-logo-PO.pdf" TargetMode="External"/><Relationship Id="rId3" Type="http://schemas.openxmlformats.org/officeDocument/2006/relationships/hyperlink" Target="https://futurebeef.com.au/resources/beef-business-tools/" TargetMode="External"/><Relationship Id="rId7" Type="http://schemas.openxmlformats.org/officeDocument/2006/relationships/hyperlink" Target="https://futurebeef.com.au/contact-us/" TargetMode="External"/><Relationship Id="rId12" Type="http://schemas.openxmlformats.org/officeDocument/2006/relationships/hyperlink" Target="https://www.longpaddock.qld.gov.au/forage/about/" TargetMode="External"/><Relationship Id="rId17" Type="http://schemas.openxmlformats.org/officeDocument/2006/relationships/hyperlink" Target="http://www.publications.qld.gov.au/dataset/farm-business-resilience-plan" TargetMode="External"/><Relationship Id="rId2" Type="http://schemas.openxmlformats.org/officeDocument/2006/relationships/hyperlink" Target="https://futurebeef.com.au/resources/forage-budgeting-videos/" TargetMode="External"/><Relationship Id="rId16" Type="http://schemas.openxmlformats.org/officeDocument/2006/relationships/hyperlink" Target="https://www.qrida.qld.gov.au/program/drought-preparedness-grants" TargetMode="External"/><Relationship Id="rId20" Type="http://schemas.openxmlformats.org/officeDocument/2006/relationships/hyperlink" Target="https://futurebeef.com.au/resources/land-condition/" TargetMode="External"/><Relationship Id="rId1" Type="http://schemas.openxmlformats.org/officeDocument/2006/relationships/hyperlink" Target="https://futurebeef.com.au/" TargetMode="External"/><Relationship Id="rId6" Type="http://schemas.openxmlformats.org/officeDocument/2006/relationships/hyperlink" Target="https://futurebeef.com.au/resources/lcat-pasture-guide/" TargetMode="External"/><Relationship Id="rId11" Type="http://schemas.openxmlformats.org/officeDocument/2006/relationships/hyperlink" Target="https://www.longpaddock.qld.gov.au/" TargetMode="External"/><Relationship Id="rId5" Type="http://schemas.openxmlformats.org/officeDocument/2006/relationships/hyperlink" Target="https://futurebeef.com.au/resources/pasture-photo-standards/" TargetMode="External"/><Relationship Id="rId15" Type="http://schemas.openxmlformats.org/officeDocument/2006/relationships/hyperlink" Target="https://www.rcsaustralia.com.au/managing-drought-conversation/" TargetMode="External"/><Relationship Id="rId10" Type="http://schemas.openxmlformats.org/officeDocument/2006/relationships/hyperlink" Target="https://www.qrida.qld.gov.au/" TargetMode="External"/><Relationship Id="rId19" Type="http://schemas.openxmlformats.org/officeDocument/2006/relationships/hyperlink" Target="https://futurebeef.com.au/news/give-it-a-rest/" TargetMode="External"/><Relationship Id="rId4" Type="http://schemas.openxmlformats.org/officeDocument/2006/relationships/hyperlink" Target="https://futurebeef.com.au/resources/land-types-of-queensland/" TargetMode="External"/><Relationship Id="rId9" Type="http://schemas.openxmlformats.org/officeDocument/2006/relationships/hyperlink" Target="https://rfcssq.org.au/rural/" TargetMode="External"/><Relationship Id="rId14" Type="http://schemas.openxmlformats.org/officeDocument/2006/relationships/hyperlink" Target="https://climateapp.net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5E35-1D21-4C37-862E-7855A48DFD8C}">
  <sheetPr>
    <tabColor rgb="FFFFFF00"/>
  </sheetPr>
  <dimension ref="A1:AD135"/>
  <sheetViews>
    <sheetView tabSelected="1" zoomScale="90" zoomScaleNormal="90" workbookViewId="0">
      <selection activeCell="F2" sqref="F2"/>
    </sheetView>
  </sheetViews>
  <sheetFormatPr defaultRowHeight="12.75" x14ac:dyDescent="0.2"/>
  <cols>
    <col min="1" max="1" width="2.42578125" customWidth="1"/>
    <col min="2" max="2" width="13.7109375" customWidth="1"/>
    <col min="3" max="3" width="14" customWidth="1"/>
    <col min="4" max="4" width="25" customWidth="1"/>
    <col min="5" max="5" width="11.5703125" customWidth="1"/>
    <col min="6" max="6" width="29.140625" customWidth="1"/>
    <col min="7" max="7" width="17.5703125" customWidth="1"/>
    <col min="8" max="8" width="21.5703125" customWidth="1"/>
    <col min="9" max="9" width="10.7109375" customWidth="1"/>
    <col min="10" max="10" width="11.85546875" customWidth="1"/>
    <col min="11" max="11" width="12.140625" customWidth="1"/>
    <col min="12" max="12" width="13.5703125" customWidth="1"/>
    <col min="13" max="13" width="6.5703125" customWidth="1"/>
    <col min="14" max="14" width="37.85546875" customWidth="1"/>
    <col min="15" max="15" width="20" customWidth="1"/>
    <col min="16" max="23" width="4" bestFit="1" customWidth="1"/>
    <col min="24" max="24" width="21.5703125" bestFit="1" customWidth="1"/>
    <col min="25" max="26" width="4" bestFit="1" customWidth="1"/>
    <col min="27" max="27" width="21.5703125" bestFit="1" customWidth="1"/>
    <col min="28" max="28" width="11.7109375" bestFit="1" customWidth="1"/>
    <col min="29" max="29" width="19.85546875" customWidth="1"/>
    <col min="31" max="31" width="10.140625" bestFit="1" customWidth="1"/>
  </cols>
  <sheetData>
    <row r="1" spans="1:30" ht="7.5" customHeight="1" thickBot="1" x14ac:dyDescent="0.25">
      <c r="A1" s="2"/>
      <c r="B1" s="2"/>
      <c r="C1" s="2"/>
      <c r="D1" s="2"/>
      <c r="E1" s="2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thickBot="1" x14ac:dyDescent="0.25">
      <c r="A2" s="2"/>
      <c r="B2" s="52" t="s">
        <v>29</v>
      </c>
      <c r="C2" s="53"/>
      <c r="D2" s="54"/>
      <c r="E2" s="6"/>
      <c r="F2" s="55" t="s">
        <v>165</v>
      </c>
      <c r="G2" s="56"/>
      <c r="H2" s="31"/>
      <c r="I2" s="31"/>
      <c r="J2" s="31"/>
      <c r="K2" s="31"/>
      <c r="L2" s="57"/>
      <c r="M2" s="2"/>
      <c r="N2" s="103" t="s">
        <v>62</v>
      </c>
      <c r="O2" s="10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9.5" x14ac:dyDescent="0.3">
      <c r="A3" s="2"/>
      <c r="B3" s="58"/>
      <c r="C3" s="34"/>
      <c r="D3" s="34"/>
      <c r="E3" s="7"/>
      <c r="F3" s="315" t="s">
        <v>61</v>
      </c>
      <c r="G3" s="59"/>
      <c r="H3" s="34"/>
      <c r="I3" s="34"/>
      <c r="J3" s="34"/>
      <c r="K3" s="34"/>
      <c r="L3" s="44"/>
      <c r="M3" s="2"/>
      <c r="N3" s="105" t="s">
        <v>63</v>
      </c>
      <c r="O3" s="14">
        <f>F4</f>
        <v>100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">
      <c r="A4" s="2"/>
      <c r="B4" s="37"/>
      <c r="C4" s="34"/>
      <c r="D4" s="34"/>
      <c r="E4" s="7"/>
      <c r="F4" s="18">
        <v>100</v>
      </c>
      <c r="G4" s="47" t="s">
        <v>180</v>
      </c>
      <c r="H4" s="143" t="s">
        <v>98</v>
      </c>
      <c r="I4" s="7"/>
      <c r="J4" s="7"/>
      <c r="K4" s="7"/>
      <c r="L4" s="44"/>
      <c r="M4" s="2"/>
      <c r="N4" s="105" t="s">
        <v>64</v>
      </c>
      <c r="O4" s="15">
        <v>250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">
      <c r="A5" s="2"/>
      <c r="B5" s="144"/>
      <c r="C5" s="145"/>
      <c r="D5" s="34"/>
      <c r="E5" s="7"/>
      <c r="F5" s="18">
        <v>450</v>
      </c>
      <c r="G5" s="47" t="s">
        <v>71</v>
      </c>
      <c r="H5" s="7"/>
      <c r="I5" s="7"/>
      <c r="J5" s="274" t="s">
        <v>26</v>
      </c>
      <c r="K5" s="34"/>
      <c r="L5" s="44"/>
      <c r="M5" s="2"/>
      <c r="N5" s="105" t="s">
        <v>65</v>
      </c>
      <c r="O5" s="16">
        <v>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">
      <c r="A6" s="2"/>
      <c r="B6" s="226" t="s">
        <v>101</v>
      </c>
      <c r="C6" s="227" t="s">
        <v>102</v>
      </c>
      <c r="D6" s="194" t="s">
        <v>103</v>
      </c>
      <c r="E6" s="7"/>
      <c r="F6" s="19">
        <v>3</v>
      </c>
      <c r="G6" s="47" t="s">
        <v>121</v>
      </c>
      <c r="H6" s="20"/>
      <c r="I6" s="7"/>
      <c r="J6" s="275" t="s">
        <v>54</v>
      </c>
      <c r="K6" s="276" t="s">
        <v>177</v>
      </c>
      <c r="L6" s="44"/>
      <c r="M6" s="2"/>
      <c r="N6" s="105" t="s">
        <v>66</v>
      </c>
      <c r="O6" s="15">
        <v>28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3.5" customHeight="1" x14ac:dyDescent="0.2">
      <c r="A7" s="2"/>
      <c r="B7" s="228">
        <v>7</v>
      </c>
      <c r="C7" s="229">
        <v>3</v>
      </c>
      <c r="D7" s="195" t="s">
        <v>83</v>
      </c>
      <c r="E7" s="7"/>
      <c r="F7" s="21">
        <f>O8</f>
        <v>44.642857142857146</v>
      </c>
      <c r="G7" s="47" t="s">
        <v>91</v>
      </c>
      <c r="H7" s="60"/>
      <c r="I7" s="34"/>
      <c r="J7" s="275" t="s">
        <v>55</v>
      </c>
      <c r="K7" s="276" t="s">
        <v>131</v>
      </c>
      <c r="L7" s="44"/>
      <c r="M7" s="2"/>
      <c r="N7" s="105" t="s">
        <v>67</v>
      </c>
      <c r="O7" s="106">
        <f>IF(O3&gt;0,O3*O4*O5/O6,0)</f>
        <v>4464.2857142857147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">
      <c r="A8" s="2"/>
      <c r="B8" s="230">
        <v>650</v>
      </c>
      <c r="C8" s="231">
        <v>450</v>
      </c>
      <c r="D8" s="196" t="s">
        <v>74</v>
      </c>
      <c r="E8" s="7"/>
      <c r="F8" s="61">
        <f>H8*(F6*F5)</f>
        <v>54</v>
      </c>
      <c r="G8" s="47" t="s">
        <v>92</v>
      </c>
      <c r="H8" s="13">
        <v>0.04</v>
      </c>
      <c r="I8" s="34"/>
      <c r="J8" s="275" t="s">
        <v>56</v>
      </c>
      <c r="K8" s="34"/>
      <c r="L8" s="44"/>
      <c r="M8" s="2"/>
      <c r="N8" s="105" t="s">
        <v>68</v>
      </c>
      <c r="O8" s="107">
        <f>IF(O3&gt;0,O7/O3,0)</f>
        <v>44.642857142857146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">
      <c r="A9" s="2"/>
      <c r="B9" s="232">
        <f>B8/1000*B7</f>
        <v>4.55</v>
      </c>
      <c r="C9" s="233">
        <f>C8/1000*C7</f>
        <v>1.35</v>
      </c>
      <c r="D9" s="196" t="str">
        <f>"$"&amp;ROUND(B9+C9,2)&amp;" /head/day"</f>
        <v>$5.9 /head/day</v>
      </c>
      <c r="E9" s="7"/>
      <c r="F9" s="17">
        <v>15</v>
      </c>
      <c r="G9" s="47" t="s">
        <v>72</v>
      </c>
      <c r="H9" s="34"/>
      <c r="I9" s="34"/>
      <c r="J9" s="275" t="s">
        <v>57</v>
      </c>
      <c r="K9" s="34"/>
      <c r="L9" s="44"/>
      <c r="M9" s="2"/>
      <c r="O9" s="2"/>
      <c r="P9" s="2"/>
      <c r="Q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">
      <c r="A10" s="2"/>
      <c r="B10" s="189"/>
      <c r="C10" s="146" t="str">
        <f>"$ for "&amp;F4&amp;" head per day ="</f>
        <v>$ for 100 head per day =</v>
      </c>
      <c r="D10" s="190">
        <f>(B9+C9)*F4</f>
        <v>590</v>
      </c>
      <c r="E10" s="7"/>
      <c r="F10" s="62">
        <f>F5*F6-F7-F8-F9</f>
        <v>1236.3571428571429</v>
      </c>
      <c r="G10" s="34" t="str">
        <f>"value now  $/head ($"&amp;ROUND(F10/F5,2)&amp;"/kg net sale price)"</f>
        <v>value now  $/head ($2.75/kg net sale price)</v>
      </c>
      <c r="H10" s="34"/>
      <c r="I10" s="34"/>
      <c r="J10" s="275" t="s">
        <v>58</v>
      </c>
      <c r="K10" s="34"/>
      <c r="L10" s="44"/>
      <c r="M10" s="2"/>
      <c r="N10" s="108" t="s">
        <v>69</v>
      </c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">
      <c r="A11" s="2"/>
      <c r="B11" s="191"/>
      <c r="C11" s="192" t="str">
        <f>"$ for "&amp;F4&amp;" head for "&amp;E14&amp;" days = "</f>
        <v xml:space="preserve">$ for 100 head for 150 days = </v>
      </c>
      <c r="D11" s="193">
        <f>D10*E14</f>
        <v>88500</v>
      </c>
      <c r="E11" s="7"/>
      <c r="F11" s="64">
        <f>F10*F4</f>
        <v>123635.71428571429</v>
      </c>
      <c r="G11" s="65" t="str">
        <f>"value now "&amp;F4&amp;" head"</f>
        <v>value now 100 head</v>
      </c>
      <c r="H11" s="34"/>
      <c r="I11" s="7"/>
      <c r="J11" s="275" t="s">
        <v>73</v>
      </c>
      <c r="K11" s="34"/>
      <c r="L11" s="8"/>
      <c r="M11" s="2"/>
      <c r="N11" s="210" t="s">
        <v>70</v>
      </c>
      <c r="O11" s="211" t="s">
        <v>123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">
      <c r="A12" s="2"/>
      <c r="B12" s="234">
        <f>B7*F4</f>
        <v>700</v>
      </c>
      <c r="C12" s="235">
        <f>C7*F4</f>
        <v>300</v>
      </c>
      <c r="D12" s="236" t="s">
        <v>99</v>
      </c>
      <c r="E12" s="7"/>
      <c r="F12" s="34"/>
      <c r="G12" s="34"/>
      <c r="H12" s="34"/>
      <c r="I12" s="7"/>
      <c r="J12" s="7"/>
      <c r="K12" s="7"/>
      <c r="L12" s="8"/>
      <c r="M12" s="2"/>
      <c r="N12" s="117" t="s">
        <v>79</v>
      </c>
      <c r="O12" s="110" t="s">
        <v>80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0.25" customHeight="1" x14ac:dyDescent="0.25">
      <c r="A13" s="2"/>
      <c r="B13" s="237">
        <f>B12/1000*E14</f>
        <v>105</v>
      </c>
      <c r="C13" s="238">
        <f>C12/1000*E14</f>
        <v>45</v>
      </c>
      <c r="D13" s="239" t="str">
        <f>B13+C13&amp;" Tonnes/period"</f>
        <v>150 Tonnes/period</v>
      </c>
      <c r="E13" s="66" t="s">
        <v>22</v>
      </c>
      <c r="F13" s="34"/>
      <c r="G13" s="67" t="s">
        <v>59</v>
      </c>
      <c r="H13" s="34"/>
      <c r="I13" s="7"/>
      <c r="J13" s="7"/>
      <c r="K13" s="7"/>
      <c r="L13" s="8"/>
      <c r="M13" s="2"/>
      <c r="N13" s="109">
        <v>250</v>
      </c>
      <c r="O13" s="110">
        <v>38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">
      <c r="A14" s="2"/>
      <c r="B14" s="68" t="s">
        <v>24</v>
      </c>
      <c r="C14" s="69" t="s">
        <v>9</v>
      </c>
      <c r="D14" s="63" t="str">
        <f>"("&amp;ROUND(E14/30,1)&amp;" mths)    days:"</f>
        <v>(5 mths)    days:</v>
      </c>
      <c r="E14" s="29">
        <v>150</v>
      </c>
      <c r="F14" s="313" t="str">
        <f>"feed costs per "&amp;F4&amp;" head/period"</f>
        <v>feed costs per 100 head/period</v>
      </c>
      <c r="G14" s="34"/>
      <c r="H14" s="34"/>
      <c r="I14" s="7"/>
      <c r="J14" s="7"/>
      <c r="K14" s="7"/>
      <c r="L14" s="8"/>
      <c r="M14" s="2"/>
      <c r="N14" s="109">
        <v>300</v>
      </c>
      <c r="O14" s="109">
        <v>34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2">
      <c r="A15" s="2"/>
      <c r="B15" s="118">
        <v>46249</v>
      </c>
      <c r="C15" s="70">
        <f>B15+E14</f>
        <v>46399</v>
      </c>
      <c r="D15" s="46" t="s">
        <v>181</v>
      </c>
      <c r="E15" s="30">
        <f>B9+C9</f>
        <v>5.9</v>
      </c>
      <c r="F15" s="314">
        <f>E15*F4*E14</f>
        <v>88500</v>
      </c>
      <c r="G15" s="22">
        <v>4</v>
      </c>
      <c r="H15" s="34" t="s">
        <v>32</v>
      </c>
      <c r="I15" s="7"/>
      <c r="J15" s="7"/>
      <c r="K15" s="7"/>
      <c r="L15" s="8"/>
      <c r="M15" s="2"/>
      <c r="N15" s="109">
        <v>350</v>
      </c>
      <c r="O15" s="109">
        <v>30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5.75" customHeight="1" x14ac:dyDescent="0.2">
      <c r="A16" s="3"/>
      <c r="B16" s="37"/>
      <c r="C16" s="34"/>
      <c r="D16" s="141" t="s">
        <v>182</v>
      </c>
      <c r="E16" s="128">
        <f>O29</f>
        <v>42.142857142857139</v>
      </c>
      <c r="F16" s="314">
        <f>E16*F4</f>
        <v>4214.2857142857138</v>
      </c>
      <c r="G16" s="197">
        <f>F5</f>
        <v>450</v>
      </c>
      <c r="H16" s="34" t="str">
        <f>"LWT kg/hd  ($"&amp;G15*G16&amp;" /head)"</f>
        <v>LWT kg/hd  ($1800 /head)</v>
      </c>
      <c r="I16" s="100"/>
      <c r="J16" s="7"/>
      <c r="K16" s="7"/>
      <c r="L16" s="8"/>
      <c r="M16" s="2"/>
      <c r="N16" s="109">
        <v>400</v>
      </c>
      <c r="O16" s="109">
        <v>28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">
      <c r="A17" s="2"/>
      <c r="B17" s="37"/>
      <c r="C17" s="34"/>
      <c r="D17" s="46" t="s">
        <v>183</v>
      </c>
      <c r="E17" s="128">
        <f>O35</f>
        <v>18</v>
      </c>
      <c r="F17" s="314">
        <f>E17*F4</f>
        <v>1800</v>
      </c>
      <c r="G17" s="23">
        <f>F7</f>
        <v>44.642857142857146</v>
      </c>
      <c r="H17" s="34" t="s">
        <v>20</v>
      </c>
      <c r="I17" s="100"/>
      <c r="J17" s="7"/>
      <c r="K17" s="7"/>
      <c r="L17" s="8"/>
      <c r="M17" s="2"/>
      <c r="N17" s="109">
        <v>450</v>
      </c>
      <c r="O17" s="109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">
      <c r="A18" s="2"/>
      <c r="B18" s="71" t="str">
        <f>ROUND(C18*F4,1)&amp;" deaths"</f>
        <v>5 deaths</v>
      </c>
      <c r="C18" s="5">
        <v>0.05</v>
      </c>
      <c r="D18" s="46" t="s">
        <v>184</v>
      </c>
      <c r="E18" s="72">
        <f>(C18*F5*(G15+F6)/2)</f>
        <v>78.75</v>
      </c>
      <c r="F18" s="314">
        <f>E18*F4</f>
        <v>7875</v>
      </c>
      <c r="G18" s="73">
        <f>I18*F10*E14/365</f>
        <v>25.404598825831705</v>
      </c>
      <c r="H18" s="74" t="s">
        <v>23</v>
      </c>
      <c r="I18" s="13">
        <v>0.05</v>
      </c>
      <c r="J18" s="7"/>
      <c r="K18" s="7"/>
      <c r="L18" s="8"/>
      <c r="M18" s="2"/>
      <c r="N18" s="109">
        <v>500</v>
      </c>
      <c r="O18" s="109">
        <v>24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">
      <c r="A19" s="2"/>
      <c r="B19" s="37"/>
      <c r="C19" s="12">
        <v>0.05</v>
      </c>
      <c r="D19" s="278" t="s">
        <v>185</v>
      </c>
      <c r="E19" s="75">
        <f>(C19*F10*E14/365)+(C19*E14/365*(E14*E15))</f>
        <v>43.589530332681022</v>
      </c>
      <c r="F19" s="314">
        <f>E19*F4</f>
        <v>4358.9530332681024</v>
      </c>
      <c r="G19" s="76">
        <f>(G15*G16+G17-G18)</f>
        <v>1819.2382583170254</v>
      </c>
      <c r="H19" s="47" t="s">
        <v>86</v>
      </c>
      <c r="I19" s="7"/>
      <c r="J19" s="7"/>
      <c r="K19" s="7"/>
      <c r="L19" s="8"/>
      <c r="M19" s="2"/>
      <c r="N19" s="109">
        <v>550</v>
      </c>
      <c r="O19" s="109">
        <v>22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">
      <c r="A20" s="2"/>
      <c r="B20" s="9"/>
      <c r="C20" s="7"/>
      <c r="D20" s="46" t="s">
        <v>85</v>
      </c>
      <c r="E20" s="77">
        <f>E14*E15+E16+E17+E18+E19</f>
        <v>1067.4823874755382</v>
      </c>
      <c r="F20" s="34"/>
      <c r="G20" s="76">
        <f>G19*F4</f>
        <v>181923.82583170253</v>
      </c>
      <c r="H20" s="34" t="str">
        <f>"buy back value for "&amp;F4&amp;" head"</f>
        <v>buy back value for 100 head</v>
      </c>
      <c r="I20" s="7"/>
      <c r="J20" s="7"/>
      <c r="K20" s="7"/>
      <c r="L20" s="8"/>
      <c r="M20" s="2"/>
      <c r="N20" s="109">
        <v>600</v>
      </c>
      <c r="O20" s="109">
        <v>20</v>
      </c>
      <c r="P20" s="2"/>
      <c r="Q20" s="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">
      <c r="A21" s="2"/>
      <c r="B21" s="9"/>
      <c r="C21" s="7"/>
      <c r="D21" s="63"/>
      <c r="E21" s="78"/>
      <c r="F21" s="79" t="s">
        <v>87</v>
      </c>
      <c r="G21" s="76"/>
      <c r="H21" s="34"/>
      <c r="I21" s="7"/>
      <c r="J21" s="7"/>
      <c r="K21" s="7"/>
      <c r="L21" s="8"/>
      <c r="M21" s="2"/>
      <c r="N21" s="109">
        <v>650</v>
      </c>
      <c r="O21" s="109">
        <v>18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">
      <c r="A22" s="2"/>
      <c r="B22" s="9"/>
      <c r="C22" s="7"/>
      <c r="D22" s="45" t="str">
        <f>D20</f>
        <v>Cost to feed $/head</v>
      </c>
      <c r="E22" s="64">
        <f>E20</f>
        <v>1067.4823874755382</v>
      </c>
      <c r="F22" s="62">
        <f>E22-G22</f>
        <v>484.6012720156557</v>
      </c>
      <c r="G22" s="64">
        <f>G19-F10</f>
        <v>582.88111545988249</v>
      </c>
      <c r="H22" s="80" t="s">
        <v>96</v>
      </c>
      <c r="I22" s="34"/>
      <c r="J22" s="142" t="s">
        <v>97</v>
      </c>
      <c r="K22" s="7"/>
      <c r="L22" s="8"/>
      <c r="M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">
      <c r="A23" s="2"/>
      <c r="B23" s="9"/>
      <c r="C23" s="7"/>
      <c r="D23" s="45" t="str">
        <f>"Cost to feed "&amp;F4&amp;" hd"</f>
        <v>Cost to feed 100 hd</v>
      </c>
      <c r="E23" s="64">
        <f>E20*F4</f>
        <v>106748.23874755381</v>
      </c>
      <c r="F23" s="62">
        <f>E23-G23</f>
        <v>48460.12720156557</v>
      </c>
      <c r="G23" s="64">
        <f>G20-F11</f>
        <v>58288.111545988242</v>
      </c>
      <c r="H23" s="80" t="str">
        <f>"Cost to sell &amp; buy back "&amp;F4&amp;" head"</f>
        <v>Cost to sell &amp; buy back 100 head</v>
      </c>
      <c r="I23" s="34"/>
      <c r="J23" s="142" t="s">
        <v>97</v>
      </c>
      <c r="K23" s="7"/>
      <c r="L23" s="8"/>
      <c r="M23" s="2"/>
      <c r="N23" s="111" t="s">
        <v>93</v>
      </c>
      <c r="O23" s="1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3.5" thickBot="1" x14ac:dyDescent="0.25">
      <c r="A24" s="2"/>
      <c r="B24" s="9"/>
      <c r="C24" s="7"/>
      <c r="D24" s="7"/>
      <c r="E24" s="102"/>
      <c r="F24" s="7"/>
      <c r="G24" s="34"/>
      <c r="H24" s="34"/>
      <c r="I24" s="34"/>
      <c r="J24" s="34"/>
      <c r="K24" s="7"/>
      <c r="L24" s="8"/>
      <c r="M24" s="2"/>
      <c r="N24" s="113" t="s">
        <v>75</v>
      </c>
      <c r="O24" s="134">
        <v>3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">
      <c r="A25" s="2"/>
      <c r="B25" s="9"/>
      <c r="C25" s="7"/>
      <c r="D25" s="7"/>
      <c r="E25" s="7"/>
      <c r="F25" s="81">
        <f>F22</f>
        <v>484.6012720156557</v>
      </c>
      <c r="G25" s="82" t="str">
        <f>IF(F22&lt;0,"less per head to sell &amp; buy back","per head advantage to sell and buy back")</f>
        <v>per head advantage to sell and buy back</v>
      </c>
      <c r="H25" s="83"/>
      <c r="I25" s="84"/>
      <c r="J25" s="34"/>
      <c r="K25" s="7"/>
      <c r="L25" s="8"/>
      <c r="M25" s="2"/>
      <c r="N25" s="113" t="s">
        <v>81</v>
      </c>
      <c r="O25" s="135">
        <v>50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3.5" thickBot="1" x14ac:dyDescent="0.25">
      <c r="A26" s="2"/>
      <c r="B26" s="24"/>
      <c r="C26" s="25"/>
      <c r="D26" s="25"/>
      <c r="E26" s="25"/>
      <c r="F26" s="85">
        <f>F23</f>
        <v>48460.12720156557</v>
      </c>
      <c r="G26" s="86" t="str">
        <f>"per "&amp;F4&amp;" head"</f>
        <v>per 100 head</v>
      </c>
      <c r="H26" s="87"/>
      <c r="I26" s="88"/>
      <c r="J26" s="34"/>
      <c r="K26" s="7"/>
      <c r="L26" s="8"/>
      <c r="M26" s="2"/>
      <c r="N26" s="113" t="str">
        <f>"Times fed over period "&amp;E14&amp;" days period"</f>
        <v>Times fed over period 150 days period</v>
      </c>
      <c r="O26" s="136">
        <f>E14/7*O24</f>
        <v>64.285714285714278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">
      <c r="A27" s="2"/>
      <c r="B27" s="26"/>
      <c r="C27" s="10"/>
      <c r="D27" s="10"/>
      <c r="E27" s="10"/>
      <c r="F27" s="10"/>
      <c r="G27" s="89"/>
      <c r="H27" s="41"/>
      <c r="I27" s="41"/>
      <c r="J27" s="41"/>
      <c r="K27" s="10"/>
      <c r="L27" s="101"/>
      <c r="M27" s="2"/>
      <c r="N27" s="132" t="s">
        <v>95</v>
      </c>
      <c r="O27" s="114">
        <f>O25*O26</f>
        <v>3214.2857142857138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3.5" thickBot="1" x14ac:dyDescent="0.25">
      <c r="A28" s="2"/>
      <c r="B28" s="90" t="s">
        <v>100</v>
      </c>
      <c r="C28" s="307">
        <v>0.6</v>
      </c>
      <c r="D28" s="46" t="s">
        <v>36</v>
      </c>
      <c r="E28" s="34"/>
      <c r="F28" s="47" t="str">
        <f>IF(C28=0,"No calves so ignore this section","If calves born during feeding period...")</f>
        <v>If calves born during feeding period...</v>
      </c>
      <c r="G28" s="34"/>
      <c r="H28" s="34"/>
      <c r="I28" s="34"/>
      <c r="J28" s="34"/>
      <c r="K28" s="34"/>
      <c r="L28" s="44"/>
      <c r="M28" s="2"/>
      <c r="N28" s="113" t="s">
        <v>94</v>
      </c>
      <c r="O28" s="135">
        <v>1000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">
      <c r="A29" s="2"/>
      <c r="B29" s="91" t="s">
        <v>33</v>
      </c>
      <c r="C29" s="99">
        <v>46266</v>
      </c>
      <c r="D29" s="46" t="s">
        <v>37</v>
      </c>
      <c r="E29" s="92">
        <f>C32*C33*C28</f>
        <v>202.65</v>
      </c>
      <c r="F29" s="93">
        <f>IF(C28=0,0,F25-E29)</f>
        <v>281.95127201565572</v>
      </c>
      <c r="G29" s="31" t="str">
        <f>IF(F29&lt;0,"Worse per head to sell","Better per head to sell")</f>
        <v>Better per head to sell</v>
      </c>
      <c r="H29" s="57"/>
      <c r="I29" s="34"/>
      <c r="J29" s="34"/>
      <c r="K29" s="34"/>
      <c r="L29" s="44"/>
      <c r="M29" s="2"/>
      <c r="N29" s="140" t="s">
        <v>76</v>
      </c>
      <c r="O29" s="129">
        <f>(O27+O28)/F4</f>
        <v>42.142857142857139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3.5" thickBot="1" x14ac:dyDescent="0.25">
      <c r="A30" s="2"/>
      <c r="B30" s="91" t="s">
        <v>35</v>
      </c>
      <c r="C30" s="311">
        <f>C15-C29</f>
        <v>133</v>
      </c>
      <c r="D30" s="312" t="str">
        <f>"(Calf value =$"&amp;ROUND(C33*C32,0)&amp;")"</f>
        <v>(Calf value =$338)</v>
      </c>
      <c r="E30" s="34"/>
      <c r="F30" s="94">
        <f>IF(C28=0,0,F26-(E29*F4))</f>
        <v>28195.12720156557</v>
      </c>
      <c r="G30" s="50" t="str">
        <f>"per "&amp;F4&amp;" head"</f>
        <v>per 100 head</v>
      </c>
      <c r="H30" s="51"/>
      <c r="I30" s="34"/>
      <c r="J30" s="34"/>
      <c r="K30" s="34"/>
      <c r="L30" s="4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">
      <c r="A31" s="2"/>
      <c r="B31" s="95" t="s">
        <v>34</v>
      </c>
      <c r="C31" s="308">
        <v>0.5</v>
      </c>
      <c r="D31" s="34"/>
      <c r="E31" s="76"/>
      <c r="F31" s="34"/>
      <c r="G31" s="34"/>
      <c r="H31" s="34"/>
      <c r="I31" s="34"/>
      <c r="J31" s="34"/>
      <c r="K31" s="34"/>
      <c r="L31" s="44"/>
      <c r="M31" s="2"/>
      <c r="N31" s="115" t="s">
        <v>84</v>
      </c>
      <c r="O31" s="137">
        <v>8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">
      <c r="A32" s="2"/>
      <c r="B32" s="91" t="s">
        <v>21</v>
      </c>
      <c r="C32" s="310">
        <f>C30*C31+30</f>
        <v>96.5</v>
      </c>
      <c r="D32" s="34"/>
      <c r="E32" s="34"/>
      <c r="F32" s="34"/>
      <c r="G32" s="212" t="s">
        <v>124</v>
      </c>
      <c r="H32" s="34"/>
      <c r="I32" s="34"/>
      <c r="J32" s="34"/>
      <c r="K32" s="34"/>
      <c r="L32" s="44"/>
      <c r="M32" s="2"/>
      <c r="N32" s="113" t="str">
        <f>"Total vet costs over period…. $"&amp;ROUND(O32/F4,2)&amp;"/hd"</f>
        <v>Total vet costs over period…. $10/hd</v>
      </c>
      <c r="O32" s="138">
        <v>1000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">
      <c r="A33" s="2"/>
      <c r="B33" s="96" t="s">
        <v>25</v>
      </c>
      <c r="C33" s="309">
        <v>3.5</v>
      </c>
      <c r="D33" s="34"/>
      <c r="E33" s="34"/>
      <c r="F33" s="34"/>
      <c r="G33" s="47" t="s">
        <v>179</v>
      </c>
      <c r="H33" s="34"/>
      <c r="I33" s="34"/>
      <c r="J33" s="34"/>
      <c r="K33" s="97"/>
      <c r="L33" s="98"/>
      <c r="M33" s="2"/>
      <c r="N33" s="116" t="s">
        <v>78</v>
      </c>
      <c r="O33" s="139"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">
      <c r="A34" s="2"/>
      <c r="B34" s="39"/>
      <c r="C34" s="40"/>
      <c r="D34" s="41"/>
      <c r="E34" s="41"/>
      <c r="F34" s="41"/>
      <c r="G34" s="316" t="s">
        <v>188</v>
      </c>
      <c r="H34" s="41"/>
      <c r="I34" s="41"/>
      <c r="J34" s="41"/>
      <c r="K34" s="42"/>
      <c r="L34" s="43"/>
      <c r="M34" s="2"/>
      <c r="N34" s="130" t="s">
        <v>82</v>
      </c>
      <c r="O34" s="133">
        <f>O35*F4</f>
        <v>1800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">
      <c r="A35" s="2"/>
      <c r="B35" s="37"/>
      <c r="C35" s="34"/>
      <c r="D35" s="34"/>
      <c r="E35" s="34"/>
      <c r="F35" s="34"/>
      <c r="G35" s="34"/>
      <c r="H35" s="34"/>
      <c r="I35" s="34"/>
      <c r="J35" s="34"/>
      <c r="K35" s="34"/>
      <c r="L35" s="44"/>
      <c r="M35" s="2"/>
      <c r="N35" s="130" t="s">
        <v>77</v>
      </c>
      <c r="O35" s="131">
        <f>O31+O33+(O32/F4)</f>
        <v>18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">
      <c r="A36" s="2"/>
      <c r="B36" s="37"/>
      <c r="C36" s="34"/>
      <c r="D36" s="34"/>
      <c r="E36" s="242" t="s">
        <v>27</v>
      </c>
      <c r="F36" s="34"/>
      <c r="G36" s="243" t="s">
        <v>28</v>
      </c>
      <c r="H36" s="34"/>
      <c r="I36" s="34"/>
      <c r="J36" s="34"/>
      <c r="K36" s="34"/>
      <c r="L36" s="4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 x14ac:dyDescent="0.2">
      <c r="A37" s="2"/>
      <c r="B37" s="37"/>
      <c r="C37" s="34"/>
      <c r="D37" s="34"/>
      <c r="E37" s="240" t="s">
        <v>166</v>
      </c>
      <c r="F37" s="34"/>
      <c r="G37" s="244" t="s">
        <v>107</v>
      </c>
      <c r="H37" s="34"/>
      <c r="I37" s="34"/>
      <c r="J37" s="34"/>
      <c r="K37" s="34"/>
      <c r="L37" s="4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 x14ac:dyDescent="0.2">
      <c r="A38" s="2"/>
      <c r="B38" s="37"/>
      <c r="C38" s="34"/>
      <c r="D38" s="34"/>
      <c r="E38" s="240" t="s">
        <v>46</v>
      </c>
      <c r="F38" s="34"/>
      <c r="G38" s="244" t="s">
        <v>49</v>
      </c>
      <c r="H38" s="34"/>
      <c r="I38" s="34"/>
      <c r="J38" s="34"/>
      <c r="K38" s="34"/>
      <c r="L38" s="4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 x14ac:dyDescent="0.2">
      <c r="A39" s="2"/>
      <c r="B39" s="37"/>
      <c r="C39" s="34"/>
      <c r="D39" s="34"/>
      <c r="E39" s="240" t="s">
        <v>104</v>
      </c>
      <c r="F39" s="34"/>
      <c r="G39" s="244" t="s">
        <v>50</v>
      </c>
      <c r="H39" s="34"/>
      <c r="I39" s="34"/>
      <c r="J39" s="34"/>
      <c r="K39" s="34"/>
      <c r="L39" s="4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 x14ac:dyDescent="0.2">
      <c r="A40" s="2"/>
      <c r="B40" s="37"/>
      <c r="C40" s="34"/>
      <c r="D40" s="34"/>
      <c r="E40" s="240" t="s">
        <v>47</v>
      </c>
      <c r="F40" s="34"/>
      <c r="G40" s="245" t="s">
        <v>51</v>
      </c>
      <c r="H40" s="34"/>
      <c r="I40" s="34"/>
      <c r="J40" s="34"/>
      <c r="K40" s="34"/>
      <c r="L40" s="4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 x14ac:dyDescent="0.2">
      <c r="A41" s="2"/>
      <c r="B41" s="37"/>
      <c r="C41" s="34"/>
      <c r="D41" s="34"/>
      <c r="E41" s="240" t="s">
        <v>48</v>
      </c>
      <c r="F41" s="34"/>
      <c r="G41" s="244" t="s">
        <v>178</v>
      </c>
      <c r="H41" s="34"/>
      <c r="I41" s="34"/>
      <c r="J41" s="34"/>
      <c r="K41" s="34"/>
      <c r="L41" s="4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 x14ac:dyDescent="0.25">
      <c r="A42" s="2"/>
      <c r="B42" s="37"/>
      <c r="C42" s="34"/>
      <c r="D42" s="34"/>
      <c r="E42" s="277" t="s">
        <v>105</v>
      </c>
      <c r="F42" s="34"/>
      <c r="G42" s="244" t="s">
        <v>52</v>
      </c>
      <c r="H42" s="34"/>
      <c r="I42" s="34"/>
      <c r="J42" s="34"/>
      <c r="K42" s="34"/>
      <c r="L42" s="4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 thickBot="1" x14ac:dyDescent="0.25">
      <c r="A43" s="2"/>
      <c r="B43" s="48"/>
      <c r="C43" s="49"/>
      <c r="D43" s="49"/>
      <c r="E43" s="241" t="s">
        <v>106</v>
      </c>
      <c r="F43" s="49"/>
      <c r="G43" s="246" t="s">
        <v>53</v>
      </c>
      <c r="H43" s="49"/>
      <c r="I43" s="49"/>
      <c r="J43" s="49"/>
      <c r="K43" s="49"/>
      <c r="L43" s="5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3.5" thickBot="1" x14ac:dyDescent="0.2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 x14ac:dyDescent="0.2">
      <c r="A45" s="2"/>
      <c r="B45" s="247"/>
      <c r="C45" s="248"/>
      <c r="D45" s="248"/>
      <c r="E45" s="260" t="s">
        <v>2</v>
      </c>
      <c r="F45" s="248"/>
      <c r="G45" s="198"/>
      <c r="H45" s="198"/>
      <c r="I45" s="198"/>
      <c r="J45" s="198"/>
      <c r="K45" s="199"/>
      <c r="L45" s="200"/>
      <c r="M45" s="2"/>
      <c r="N45" s="267" t="s">
        <v>167</v>
      </c>
      <c r="O45" s="268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" customHeight="1" x14ac:dyDescent="0.2">
      <c r="A46" s="2"/>
      <c r="B46" s="249" t="s">
        <v>1</v>
      </c>
      <c r="C46" s="250"/>
      <c r="D46" s="250"/>
      <c r="E46" s="250"/>
      <c r="F46" s="250"/>
      <c r="G46" s="205"/>
      <c r="H46" s="205"/>
      <c r="I46" s="205"/>
      <c r="J46" s="205"/>
      <c r="K46" s="206"/>
      <c r="L46" s="201"/>
      <c r="M46" s="2"/>
      <c r="N46" s="269" t="s">
        <v>168</v>
      </c>
      <c r="O46" s="270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" customHeight="1" x14ac:dyDescent="0.2">
      <c r="A47" s="2"/>
      <c r="B47" s="251" t="s">
        <v>31</v>
      </c>
      <c r="C47" s="250"/>
      <c r="D47" s="250"/>
      <c r="E47" s="250"/>
      <c r="F47" s="250"/>
      <c r="G47" s="205"/>
      <c r="H47" s="205"/>
      <c r="I47" s="205"/>
      <c r="J47" s="205"/>
      <c r="K47" s="206"/>
      <c r="L47" s="201"/>
      <c r="M47" s="2"/>
      <c r="N47" s="269" t="s">
        <v>169</v>
      </c>
      <c r="O47" s="270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" customHeight="1" x14ac:dyDescent="0.2">
      <c r="A48" s="2"/>
      <c r="B48" s="251" t="s">
        <v>38</v>
      </c>
      <c r="C48" s="250"/>
      <c r="D48" s="250"/>
      <c r="E48" s="250"/>
      <c r="F48" s="250"/>
      <c r="G48" s="205"/>
      <c r="H48" s="205"/>
      <c r="I48" s="205"/>
      <c r="J48" s="205"/>
      <c r="K48" s="206"/>
      <c r="L48" s="201"/>
      <c r="M48" s="2"/>
      <c r="N48" s="271" t="s">
        <v>170</v>
      </c>
      <c r="O48" s="270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" customHeight="1" x14ac:dyDescent="0.2">
      <c r="A49" s="2"/>
      <c r="B49" s="251" t="s">
        <v>30</v>
      </c>
      <c r="C49" s="250"/>
      <c r="D49" s="250"/>
      <c r="E49" s="250"/>
      <c r="F49" s="250"/>
      <c r="G49" s="205"/>
      <c r="H49" s="205"/>
      <c r="I49" s="205"/>
      <c r="J49" s="205"/>
      <c r="K49" s="206"/>
      <c r="L49" s="201"/>
      <c r="M49" s="2"/>
      <c r="N49" s="271" t="s">
        <v>171</v>
      </c>
      <c r="O49" s="270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" customHeight="1" x14ac:dyDescent="0.2">
      <c r="A50" s="2"/>
      <c r="B50" s="251" t="s">
        <v>108</v>
      </c>
      <c r="C50" s="250"/>
      <c r="D50" s="250"/>
      <c r="E50" s="250"/>
      <c r="F50" s="250"/>
      <c r="G50" s="205"/>
      <c r="H50" s="205"/>
      <c r="I50" s="205"/>
      <c r="J50" s="205"/>
      <c r="K50" s="206"/>
      <c r="L50" s="201"/>
      <c r="M50" s="2"/>
      <c r="N50" s="271" t="s">
        <v>172</v>
      </c>
      <c r="O50" s="270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" customHeight="1" x14ac:dyDescent="0.2">
      <c r="A51" s="2"/>
      <c r="B51" s="251" t="s">
        <v>60</v>
      </c>
      <c r="C51" s="250"/>
      <c r="D51" s="250"/>
      <c r="E51" s="250"/>
      <c r="F51" s="250"/>
      <c r="G51" s="205"/>
      <c r="H51" s="205"/>
      <c r="I51" s="205"/>
      <c r="J51" s="205"/>
      <c r="K51" s="206"/>
      <c r="L51" s="201"/>
      <c r="M51" s="2"/>
      <c r="N51" s="271" t="s">
        <v>173</v>
      </c>
      <c r="O51" s="270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" customHeight="1" x14ac:dyDescent="0.2">
      <c r="A52" s="2"/>
      <c r="B52" s="251" t="s">
        <v>109</v>
      </c>
      <c r="C52" s="250"/>
      <c r="D52" s="250"/>
      <c r="E52" s="250"/>
      <c r="F52" s="250"/>
      <c r="G52" s="205"/>
      <c r="H52" s="205"/>
      <c r="I52" s="205"/>
      <c r="J52" s="205"/>
      <c r="K52" s="206"/>
      <c r="L52" s="201"/>
      <c r="M52" s="2"/>
      <c r="N52" s="271" t="s">
        <v>174</v>
      </c>
      <c r="O52" s="270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" customHeight="1" x14ac:dyDescent="0.2">
      <c r="A53" s="2"/>
      <c r="B53" s="251" t="s">
        <v>39</v>
      </c>
      <c r="C53" s="250"/>
      <c r="D53" s="250"/>
      <c r="E53" s="250"/>
      <c r="F53" s="250"/>
      <c r="G53" s="205"/>
      <c r="H53" s="205"/>
      <c r="I53" s="205"/>
      <c r="J53" s="205"/>
      <c r="K53" s="206"/>
      <c r="L53" s="201"/>
      <c r="M53" s="2"/>
      <c r="N53" s="271" t="s">
        <v>175</v>
      </c>
      <c r="O53" s="270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" customHeight="1" x14ac:dyDescent="0.2">
      <c r="A54" s="2"/>
      <c r="B54" s="254" t="s">
        <v>40</v>
      </c>
      <c r="C54" s="255"/>
      <c r="D54" s="255"/>
      <c r="E54" s="255"/>
      <c r="F54" s="255"/>
      <c r="G54" s="256"/>
      <c r="H54" s="256"/>
      <c r="I54" s="256"/>
      <c r="J54" s="256"/>
      <c r="K54" s="257"/>
      <c r="L54" s="258"/>
      <c r="M54" s="2"/>
      <c r="N54" s="272" t="s">
        <v>176</v>
      </c>
      <c r="O54" s="27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" customHeight="1" x14ac:dyDescent="0.2">
      <c r="A55" s="2"/>
      <c r="B55" s="249" t="s">
        <v>0</v>
      </c>
      <c r="C55" s="250"/>
      <c r="D55" s="250"/>
      <c r="E55" s="250"/>
      <c r="F55" s="250"/>
      <c r="G55" s="205"/>
      <c r="H55" s="205"/>
      <c r="I55" s="205"/>
      <c r="J55" s="205"/>
      <c r="K55" s="206"/>
      <c r="L55" s="201"/>
      <c r="M55" s="2"/>
      <c r="N55" s="266"/>
      <c r="O55" s="265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" customHeight="1" x14ac:dyDescent="0.2">
      <c r="A56" s="2"/>
      <c r="B56" s="251" t="s">
        <v>41</v>
      </c>
      <c r="C56" s="250"/>
      <c r="D56" s="250"/>
      <c r="E56" s="250"/>
      <c r="F56" s="250"/>
      <c r="G56" s="205"/>
      <c r="H56" s="205"/>
      <c r="I56" s="205"/>
      <c r="J56" s="205"/>
      <c r="K56" s="206"/>
      <c r="L56" s="20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" customHeight="1" x14ac:dyDescent="0.2">
      <c r="A57" s="2"/>
      <c r="B57" s="251" t="s">
        <v>119</v>
      </c>
      <c r="C57" s="250"/>
      <c r="D57" s="250"/>
      <c r="E57" s="250"/>
      <c r="F57" s="250"/>
      <c r="G57" s="205"/>
      <c r="H57" s="207" t="s">
        <v>120</v>
      </c>
      <c r="I57" s="205"/>
      <c r="J57" s="205"/>
      <c r="K57" s="206"/>
      <c r="L57" s="20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" customHeight="1" x14ac:dyDescent="0.2">
      <c r="A58" s="2"/>
      <c r="B58" s="254" t="s">
        <v>110</v>
      </c>
      <c r="C58" s="255"/>
      <c r="D58" s="255"/>
      <c r="E58" s="255"/>
      <c r="F58" s="255"/>
      <c r="G58" s="256"/>
      <c r="H58" s="256"/>
      <c r="I58" s="256"/>
      <c r="J58" s="256"/>
      <c r="K58" s="257"/>
      <c r="L58" s="25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" customHeight="1" x14ac:dyDescent="0.2">
      <c r="A59" s="2"/>
      <c r="B59" s="249" t="s">
        <v>3</v>
      </c>
      <c r="C59" s="250"/>
      <c r="D59" s="250"/>
      <c r="E59" s="250"/>
      <c r="F59" s="250"/>
      <c r="G59" s="208"/>
      <c r="H59" s="208"/>
      <c r="I59" s="208"/>
      <c r="J59" s="208"/>
      <c r="K59" s="206"/>
      <c r="L59" s="20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" customHeight="1" x14ac:dyDescent="0.2">
      <c r="A60" s="2"/>
      <c r="B60" s="251" t="s">
        <v>42</v>
      </c>
      <c r="C60" s="250"/>
      <c r="D60" s="250"/>
      <c r="E60" s="250"/>
      <c r="F60" s="250"/>
      <c r="G60" s="208"/>
      <c r="H60" s="208"/>
      <c r="I60" s="208"/>
      <c r="J60" s="208"/>
      <c r="K60" s="206"/>
      <c r="L60" s="20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" customHeight="1" x14ac:dyDescent="0.2">
      <c r="A61" s="2"/>
      <c r="B61" s="251" t="s">
        <v>43</v>
      </c>
      <c r="C61" s="250"/>
      <c r="D61" s="250"/>
      <c r="E61" s="250"/>
      <c r="F61" s="250"/>
      <c r="G61" s="208"/>
      <c r="H61" s="208"/>
      <c r="I61" s="208"/>
      <c r="J61" s="208"/>
      <c r="K61" s="206"/>
      <c r="L61" s="20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" customHeight="1" x14ac:dyDescent="0.2">
      <c r="A62" s="2"/>
      <c r="B62" s="251" t="s">
        <v>44</v>
      </c>
      <c r="C62" s="250"/>
      <c r="D62" s="250"/>
      <c r="E62" s="250"/>
      <c r="F62" s="250"/>
      <c r="G62" s="208"/>
      <c r="H62" s="208"/>
      <c r="I62" s="208"/>
      <c r="J62" s="208"/>
      <c r="K62" s="206"/>
      <c r="L62" s="20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" customHeight="1" x14ac:dyDescent="0.2">
      <c r="A63" s="2"/>
      <c r="B63" s="254" t="s">
        <v>45</v>
      </c>
      <c r="C63" s="255"/>
      <c r="D63" s="255"/>
      <c r="E63" s="255"/>
      <c r="F63" s="255"/>
      <c r="G63" s="259"/>
      <c r="H63" s="259"/>
      <c r="I63" s="259"/>
      <c r="J63" s="259"/>
      <c r="K63" s="257"/>
      <c r="L63" s="25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" customHeight="1" x14ac:dyDescent="0.2">
      <c r="A64" s="2"/>
      <c r="B64" s="249" t="s">
        <v>19</v>
      </c>
      <c r="C64" s="250"/>
      <c r="D64" s="250"/>
      <c r="E64" s="250"/>
      <c r="F64" s="250"/>
      <c r="G64" s="208"/>
      <c r="H64" s="208"/>
      <c r="I64" s="208"/>
      <c r="J64" s="208"/>
      <c r="K64" s="206"/>
      <c r="L64" s="20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" customHeight="1" x14ac:dyDescent="0.2">
      <c r="A65" s="2"/>
      <c r="B65" s="251" t="s">
        <v>111</v>
      </c>
      <c r="C65" s="250"/>
      <c r="D65" s="250"/>
      <c r="E65" s="250"/>
      <c r="F65" s="250"/>
      <c r="G65" s="208"/>
      <c r="H65" s="208"/>
      <c r="I65" s="208"/>
      <c r="J65" s="208"/>
      <c r="K65" s="206"/>
      <c r="L65" s="20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" customHeight="1" x14ac:dyDescent="0.2">
      <c r="A66" s="2"/>
      <c r="B66" s="251" t="s">
        <v>112</v>
      </c>
      <c r="C66" s="250"/>
      <c r="D66" s="250"/>
      <c r="E66" s="250"/>
      <c r="F66" s="250"/>
      <c r="G66" s="208"/>
      <c r="H66" s="208"/>
      <c r="I66" s="208"/>
      <c r="J66" s="208"/>
      <c r="K66" s="206"/>
      <c r="L66" s="20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" customHeight="1" x14ac:dyDescent="0.2">
      <c r="A67" s="2"/>
      <c r="B67" s="251" t="s">
        <v>113</v>
      </c>
      <c r="C67" s="250"/>
      <c r="D67" s="250"/>
      <c r="E67" s="250"/>
      <c r="F67" s="250"/>
      <c r="G67" s="208"/>
      <c r="H67" s="208"/>
      <c r="I67" s="208"/>
      <c r="J67" s="208"/>
      <c r="K67" s="206"/>
      <c r="L67" s="20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" customHeight="1" x14ac:dyDescent="0.2">
      <c r="A68" s="2"/>
      <c r="B68" s="251" t="s">
        <v>122</v>
      </c>
      <c r="C68" s="250"/>
      <c r="D68" s="250"/>
      <c r="E68" s="250"/>
      <c r="F68" s="250"/>
      <c r="G68" s="208"/>
      <c r="H68" s="208"/>
      <c r="I68" s="208"/>
      <c r="J68" s="208"/>
      <c r="K68" s="206"/>
      <c r="L68" s="20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" customHeight="1" thickBot="1" x14ac:dyDescent="0.25">
      <c r="A69" s="2"/>
      <c r="B69" s="252" t="s">
        <v>114</v>
      </c>
      <c r="C69" s="253"/>
      <c r="D69" s="253"/>
      <c r="E69" s="253"/>
      <c r="F69" s="253"/>
      <c r="G69" s="202"/>
      <c r="H69" s="202"/>
      <c r="I69" s="202"/>
      <c r="J69" s="202"/>
      <c r="K69" s="203"/>
      <c r="L69" s="20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3.5" thickBo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 x14ac:dyDescent="0.2">
      <c r="A71" s="2"/>
      <c r="B71" s="209" t="s">
        <v>18</v>
      </c>
      <c r="C71" s="31"/>
      <c r="D71" s="31"/>
      <c r="E71" s="32"/>
      <c r="F71" s="119"/>
      <c r="G71" s="119"/>
      <c r="H71" s="119"/>
      <c r="I71" s="119"/>
      <c r="J71" s="119"/>
      <c r="K71" s="119"/>
      <c r="L71" s="12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 x14ac:dyDescent="0.2">
      <c r="A72" s="2"/>
      <c r="B72" s="33" t="s">
        <v>115</v>
      </c>
      <c r="C72" s="34"/>
      <c r="D72" s="34"/>
      <c r="E72" s="35"/>
      <c r="F72" s="121"/>
      <c r="G72" s="121"/>
      <c r="H72" s="121"/>
      <c r="I72" s="121"/>
      <c r="J72" s="121"/>
      <c r="K72" s="121"/>
      <c r="L72" s="12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 x14ac:dyDescent="0.2">
      <c r="A73" s="2"/>
      <c r="B73" s="33" t="s">
        <v>116</v>
      </c>
      <c r="C73" s="34"/>
      <c r="D73" s="34"/>
      <c r="E73" s="35"/>
      <c r="F73" s="121"/>
      <c r="G73" s="121"/>
      <c r="H73" s="121"/>
      <c r="I73" s="121"/>
      <c r="J73" s="121"/>
      <c r="K73" s="121"/>
      <c r="L73" s="12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 x14ac:dyDescent="0.2">
      <c r="A74" s="2"/>
      <c r="B74" s="36"/>
      <c r="C74" s="34"/>
      <c r="D74" s="34"/>
      <c r="E74" s="35"/>
      <c r="F74" s="121"/>
      <c r="G74" s="121"/>
      <c r="H74" s="121"/>
      <c r="I74" s="121"/>
      <c r="J74" s="121"/>
      <c r="K74" s="121"/>
      <c r="L74" s="12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 x14ac:dyDescent="0.2">
      <c r="A75" s="2"/>
      <c r="B75" s="36" t="s">
        <v>15</v>
      </c>
      <c r="C75" s="34"/>
      <c r="D75" s="34"/>
      <c r="E75" s="35"/>
      <c r="F75" s="121"/>
      <c r="G75" s="121"/>
      <c r="H75" s="121"/>
      <c r="I75" s="121"/>
      <c r="J75" s="121"/>
      <c r="K75" s="121"/>
      <c r="L75" s="12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 x14ac:dyDescent="0.2">
      <c r="A76" s="2"/>
      <c r="B76" s="36" t="s">
        <v>88</v>
      </c>
      <c r="C76" s="34"/>
      <c r="D76" s="34"/>
      <c r="E76" s="35"/>
      <c r="F76" s="35"/>
      <c r="G76" s="35"/>
      <c r="H76" s="121"/>
      <c r="I76" s="121"/>
      <c r="J76" s="121"/>
      <c r="K76" s="121"/>
      <c r="L76" s="12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 x14ac:dyDescent="0.2">
      <c r="A77" s="2"/>
      <c r="B77" s="36" t="s">
        <v>89</v>
      </c>
      <c r="C77" s="34"/>
      <c r="D77" s="34"/>
      <c r="E77" s="35"/>
      <c r="F77" s="35"/>
      <c r="G77" s="35"/>
      <c r="H77" s="121"/>
      <c r="I77" s="121"/>
      <c r="J77" s="121"/>
      <c r="K77" s="121"/>
      <c r="L77" s="12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">
      <c r="A78" s="2"/>
      <c r="B78" s="303" t="s">
        <v>187</v>
      </c>
      <c r="C78" s="304"/>
      <c r="D78" s="304"/>
      <c r="E78" s="35"/>
      <c r="F78" s="35"/>
      <c r="G78" s="35"/>
      <c r="H78" s="121"/>
      <c r="I78" s="121"/>
      <c r="J78" s="121"/>
      <c r="K78" s="121"/>
      <c r="L78" s="12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">
      <c r="A79" s="2"/>
      <c r="B79" s="37"/>
      <c r="C79" s="34"/>
      <c r="D79" s="35"/>
      <c r="E79" s="35"/>
      <c r="F79" s="149" t="s">
        <v>8</v>
      </c>
      <c r="G79" s="149" t="s">
        <v>9</v>
      </c>
      <c r="H79" s="150" t="s">
        <v>10</v>
      </c>
      <c r="I79" s="121"/>
      <c r="J79" s="121"/>
      <c r="K79" s="121"/>
      <c r="L79" s="12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">
      <c r="A80" s="2"/>
      <c r="B80" s="9"/>
      <c r="C80" s="34"/>
      <c r="D80" s="35"/>
      <c r="E80" s="151" t="s">
        <v>7</v>
      </c>
      <c r="F80" s="1">
        <v>46113</v>
      </c>
      <c r="G80" s="1">
        <v>46388</v>
      </c>
      <c r="H80" s="152">
        <f>G80-F80</f>
        <v>275</v>
      </c>
      <c r="I80" s="121"/>
      <c r="J80" s="121"/>
      <c r="K80" s="121"/>
      <c r="L80" s="12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">
      <c r="A81" s="2"/>
      <c r="B81" s="9"/>
      <c r="C81" s="34"/>
      <c r="D81" s="35"/>
      <c r="E81" s="35"/>
      <c r="F81" s="35"/>
      <c r="G81" s="35"/>
      <c r="H81" s="38"/>
      <c r="I81" s="121"/>
      <c r="J81" s="121"/>
      <c r="K81" s="121"/>
      <c r="L81" s="12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">
      <c r="A82" s="2"/>
      <c r="B82" s="9"/>
      <c r="C82" s="34"/>
      <c r="D82" s="35"/>
      <c r="E82" s="169"/>
      <c r="F82" s="170" t="s">
        <v>11</v>
      </c>
      <c r="G82" s="171" t="s">
        <v>12</v>
      </c>
      <c r="H82" s="172"/>
      <c r="I82" s="121"/>
      <c r="J82" s="184" t="s">
        <v>5</v>
      </c>
      <c r="K82" s="185" t="s">
        <v>6</v>
      </c>
      <c r="L82" s="12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">
      <c r="A83" s="2"/>
      <c r="B83" s="9"/>
      <c r="C83" s="34"/>
      <c r="D83" s="35"/>
      <c r="E83" s="173" t="s">
        <v>117</v>
      </c>
      <c r="F83" s="174"/>
      <c r="G83" s="175" t="s">
        <v>118</v>
      </c>
      <c r="H83" s="176"/>
      <c r="I83" s="121"/>
      <c r="J83" s="186">
        <f>E84</f>
        <v>46113</v>
      </c>
      <c r="K83" s="187">
        <f>J84</f>
        <v>46203</v>
      </c>
      <c r="L83" s="12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">
      <c r="A84" s="2"/>
      <c r="B84" s="9"/>
      <c r="C84" s="34"/>
      <c r="D84" s="35"/>
      <c r="E84" s="177">
        <f>F80</f>
        <v>46113</v>
      </c>
      <c r="F84" s="178">
        <f>H84</f>
        <v>46203</v>
      </c>
      <c r="G84" s="148">
        <v>90</v>
      </c>
      <c r="H84" s="179">
        <f>E84+G84</f>
        <v>46203</v>
      </c>
      <c r="I84" s="121"/>
      <c r="J84" s="186">
        <f>H84</f>
        <v>46203</v>
      </c>
      <c r="K84" s="187">
        <f>G80</f>
        <v>46388</v>
      </c>
      <c r="L84" s="12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">
      <c r="A85" s="2"/>
      <c r="B85" s="9"/>
      <c r="C85" s="34"/>
      <c r="D85" s="35"/>
      <c r="E85" s="180" t="s">
        <v>5</v>
      </c>
      <c r="F85" s="181" t="s">
        <v>6</v>
      </c>
      <c r="G85" s="182" t="s">
        <v>5</v>
      </c>
      <c r="H85" s="183" t="s">
        <v>6</v>
      </c>
      <c r="I85" s="290"/>
      <c r="J85" s="188" t="str">
        <f>J84-J83&amp;" days"</f>
        <v>90 days</v>
      </c>
      <c r="K85" s="188" t="str">
        <f>K84-K83&amp;" days"</f>
        <v>185 days</v>
      </c>
      <c r="L85" s="30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">
      <c r="A86" s="2"/>
      <c r="B86" s="9"/>
      <c r="C86" s="153"/>
      <c r="D86" s="154" t="s">
        <v>13</v>
      </c>
      <c r="E86" s="147">
        <v>100</v>
      </c>
      <c r="F86" s="155" t="str">
        <f>F88&amp;" head"</f>
        <v>75 head</v>
      </c>
      <c r="G86" s="156" t="str">
        <f>E86&amp;" head"</f>
        <v>100 head</v>
      </c>
      <c r="H86" s="157" t="str">
        <f>G88&amp;" head"</f>
        <v>100 head</v>
      </c>
      <c r="I86" s="291" t="str">
        <f>D86</f>
        <v>Total number of head at start</v>
      </c>
      <c r="J86" s="293"/>
      <c r="K86" s="293"/>
      <c r="L86" s="12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">
      <c r="A87" s="2"/>
      <c r="B87" s="9"/>
      <c r="C87" s="165"/>
      <c r="D87" s="166" t="s">
        <v>17</v>
      </c>
      <c r="E87" s="27">
        <v>25</v>
      </c>
      <c r="F87" s="27">
        <v>0</v>
      </c>
      <c r="G87" s="27">
        <v>0</v>
      </c>
      <c r="H87" s="27">
        <v>37</v>
      </c>
      <c r="I87" s="305" t="str">
        <f>D87</f>
        <v>Number of head sold</v>
      </c>
      <c r="J87" s="289"/>
      <c r="K87" s="289"/>
      <c r="L87" s="30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">
      <c r="A88" s="2"/>
      <c r="B88" s="9"/>
      <c r="C88" s="158"/>
      <c r="D88" s="159" t="s">
        <v>14</v>
      </c>
      <c r="E88" s="160">
        <f>E86-E87</f>
        <v>75</v>
      </c>
      <c r="F88" s="161">
        <f>E88-F87</f>
        <v>75</v>
      </c>
      <c r="G88" s="162">
        <f>E86-G87</f>
        <v>100</v>
      </c>
      <c r="H88" s="163">
        <f>G88-H87</f>
        <v>63</v>
      </c>
      <c r="I88" s="292" t="str">
        <f t="shared" ref="I88:I91" si="0">D88</f>
        <v>No. head remaining</v>
      </c>
      <c r="J88" s="293"/>
      <c r="K88" s="293"/>
      <c r="L88" s="12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">
      <c r="A89" s="2"/>
      <c r="B89" s="9"/>
      <c r="C89" s="158"/>
      <c r="D89" s="159" t="s">
        <v>16</v>
      </c>
      <c r="E89" s="28">
        <v>10</v>
      </c>
      <c r="F89" s="155">
        <f>E89</f>
        <v>10</v>
      </c>
      <c r="G89" s="162">
        <f>E89</f>
        <v>10</v>
      </c>
      <c r="H89" s="164">
        <f>E89</f>
        <v>10</v>
      </c>
      <c r="I89" s="292" t="str">
        <f t="shared" si="0"/>
        <v>Daily dry matter intake (kg/hd/day)</v>
      </c>
      <c r="J89" s="293"/>
      <c r="K89" s="293"/>
      <c r="L89" s="12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">
      <c r="A90" s="2"/>
      <c r="B90" s="9"/>
      <c r="C90" s="165"/>
      <c r="D90" s="166" t="s">
        <v>10</v>
      </c>
      <c r="E90" s="160">
        <f>G84</f>
        <v>90</v>
      </c>
      <c r="F90" s="167">
        <f>G80-H84</f>
        <v>185</v>
      </c>
      <c r="G90" s="162">
        <f>G84</f>
        <v>90</v>
      </c>
      <c r="H90" s="168">
        <f>G80-H84</f>
        <v>185</v>
      </c>
      <c r="I90" s="305" t="str">
        <f t="shared" si="0"/>
        <v>Days</v>
      </c>
      <c r="J90" s="289"/>
      <c r="K90" s="289"/>
      <c r="L90" s="30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3.5" thickBot="1" x14ac:dyDescent="0.25">
      <c r="A91" s="2"/>
      <c r="B91" s="9"/>
      <c r="C91" s="279"/>
      <c r="D91" s="280" t="s">
        <v>4</v>
      </c>
      <c r="E91" s="281">
        <f>E89*E88*E90/1000</f>
        <v>67.5</v>
      </c>
      <c r="F91" s="282">
        <f>F89*F88*F90/1000</f>
        <v>138.75</v>
      </c>
      <c r="G91" s="283">
        <f>G89*G88*G90/1000</f>
        <v>90</v>
      </c>
      <c r="H91" s="284">
        <f>H89*H88*H90/1000</f>
        <v>116.55</v>
      </c>
      <c r="I91" s="292" t="str">
        <f t="shared" si="0"/>
        <v>Feed eaten (T)</v>
      </c>
      <c r="J91" s="293"/>
      <c r="K91" s="293"/>
      <c r="L91" s="12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3.5" thickBot="1" x14ac:dyDescent="0.25">
      <c r="A92" s="2"/>
      <c r="B92" s="9"/>
      <c r="C92" s="295"/>
      <c r="D92" s="296"/>
      <c r="E92" s="297" t="s">
        <v>90</v>
      </c>
      <c r="F92" s="285">
        <f>SUM(E91:F91)</f>
        <v>206.25</v>
      </c>
      <c r="G92" s="286" t="str">
        <f>ROUND(H92-F92,1)&amp;" T difference"</f>
        <v>0.3 T difference</v>
      </c>
      <c r="H92" s="287">
        <f>SUM(G91:H91)</f>
        <v>206.55</v>
      </c>
      <c r="I92" s="300" t="str">
        <f>E92</f>
        <v xml:space="preserve">Total tonnes of feed eaten over total period </v>
      </c>
      <c r="J92" s="119"/>
      <c r="K92" s="119"/>
      <c r="L92" s="12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3.5" thickBot="1" x14ac:dyDescent="0.25">
      <c r="A93" s="2"/>
      <c r="B93" s="9"/>
      <c r="C93" s="48"/>
      <c r="D93" s="298"/>
      <c r="E93" s="299" t="s">
        <v>186</v>
      </c>
      <c r="F93" s="286">
        <f>F88</f>
        <v>75</v>
      </c>
      <c r="G93" s="294" t="str">
        <f>F93-H93&amp;" hd difference"</f>
        <v>12 hd difference</v>
      </c>
      <c r="H93" s="288">
        <f>H88</f>
        <v>63</v>
      </c>
      <c r="I93" s="301" t="str">
        <f>E93</f>
        <v>Number of head retained end of period</v>
      </c>
      <c r="J93" s="123"/>
      <c r="K93" s="123"/>
      <c r="L93" s="12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3.5" thickBot="1" x14ac:dyDescent="0.25">
      <c r="A94" s="2"/>
      <c r="B94" s="9"/>
      <c r="C94" s="34"/>
      <c r="D94" s="35"/>
      <c r="E94" s="35"/>
      <c r="F94" s="35"/>
      <c r="G94" s="306">
        <f>(F93-H93)/H93</f>
        <v>0.19047619047619047</v>
      </c>
      <c r="H94" s="35"/>
      <c r="I94" s="35"/>
      <c r="J94" s="121"/>
      <c r="K94" s="121"/>
      <c r="L94" s="12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3.5" thickBot="1" x14ac:dyDescent="0.25">
      <c r="A95" s="2"/>
      <c r="B95" s="125"/>
      <c r="C95" s="126"/>
      <c r="D95" s="123"/>
      <c r="E95" s="123"/>
      <c r="F95" s="123"/>
      <c r="G95" s="127"/>
      <c r="H95" s="123"/>
      <c r="I95" s="123"/>
      <c r="J95" s="123"/>
      <c r="K95" s="123"/>
      <c r="L95" s="12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</sheetData>
  <sheetProtection sheet="1" objects="1" scenarios="1"/>
  <phoneticPr fontId="18" type="noConversion"/>
  <conditionalFormatting sqref="E22">
    <cfRule type="cellIs" dxfId="7" priority="2" operator="lessThan">
      <formula>$G$22</formula>
    </cfRule>
    <cfRule type="cellIs" dxfId="6" priority="6" operator="greaterThan">
      <formula>$G$22</formula>
    </cfRule>
  </conditionalFormatting>
  <conditionalFormatting sqref="E23">
    <cfRule type="cellIs" dxfId="5" priority="1" operator="lessThan">
      <formula>$G$23</formula>
    </cfRule>
    <cfRule type="cellIs" dxfId="4" priority="5" operator="greaterThan">
      <formula>$G$23</formula>
    </cfRule>
  </conditionalFormatting>
  <conditionalFormatting sqref="G22">
    <cfRule type="cellIs" dxfId="3" priority="4" operator="greaterThan">
      <formula>$E$22</formula>
    </cfRule>
    <cfRule type="cellIs" dxfId="2" priority="8" operator="lessThan">
      <formula>$E$22</formula>
    </cfRule>
  </conditionalFormatting>
  <conditionalFormatting sqref="G23">
    <cfRule type="cellIs" dxfId="1" priority="3" operator="greaterThan">
      <formula>$E$23</formula>
    </cfRule>
    <cfRule type="cellIs" dxfId="0" priority="7" operator="lessThan">
      <formula>$E$23</formula>
    </cfRule>
  </conditionalFormatting>
  <hyperlinks>
    <hyperlink ref="H57" r:id="rId1" display="https://www.business.qld.gov.au/industries/farms-fishing-forestry/agriculture/animal/health/welfare/qld/act" xr:uid="{63C26E81-B3A3-45AD-85AF-0013A0ABFB6F}"/>
    <hyperlink ref="K6" r:id="rId2" display="https://futurebeef.com.au/resources/agistment-calculator/" xr:uid="{E0283CCF-6924-4555-8A62-0477A828DE27}"/>
    <hyperlink ref="K7" r:id="rId3" display="https://futurebeef.com.au/resources/beef-business-tools/" xr:uid="{739AEDDD-EB55-45D6-9066-58612B38AA3A}"/>
  </hyperlinks>
  <pageMargins left="0.7" right="0.7" top="0.75" bottom="0.75" header="0.3" footer="0.3"/>
  <pageSetup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AE39-797B-4629-9456-210366A9329A}">
  <sheetPr>
    <tabColor rgb="FFFFFFCC"/>
  </sheetPr>
  <dimension ref="A1:AL47"/>
  <sheetViews>
    <sheetView workbookViewId="0">
      <selection activeCell="B27" sqref="B27"/>
    </sheetView>
  </sheetViews>
  <sheetFormatPr defaultRowHeight="15" x14ac:dyDescent="0.25"/>
  <cols>
    <col min="1" max="1" width="9.140625" style="214"/>
    <col min="2" max="2" width="61.85546875" style="214" bestFit="1" customWidth="1"/>
    <col min="3" max="3" width="99.7109375" style="214" customWidth="1"/>
    <col min="4" max="4" width="74.85546875" style="214" customWidth="1"/>
    <col min="5" max="16384" width="9.140625" style="214"/>
  </cols>
  <sheetData>
    <row r="1" spans="1:38" x14ac:dyDescent="0.2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</row>
    <row r="2" spans="1:38" ht="21" x14ac:dyDescent="0.25">
      <c r="A2" s="213"/>
      <c r="B2" s="215" t="s">
        <v>125</v>
      </c>
      <c r="C2" s="216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</row>
    <row r="3" spans="1:38" ht="15.75" x14ac:dyDescent="0.25">
      <c r="A3" s="213"/>
      <c r="B3" s="217" t="s">
        <v>126</v>
      </c>
      <c r="C3" s="218" t="s">
        <v>127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</row>
    <row r="4" spans="1:38" ht="15.75" x14ac:dyDescent="0.25">
      <c r="A4" s="213"/>
      <c r="B4" s="219" t="s">
        <v>128</v>
      </c>
      <c r="C4" s="218" t="s">
        <v>129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</row>
    <row r="5" spans="1:38" ht="15.75" x14ac:dyDescent="0.25">
      <c r="A5" s="213"/>
      <c r="B5" s="219" t="s">
        <v>130</v>
      </c>
      <c r="C5" s="218" t="s">
        <v>131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</row>
    <row r="6" spans="1:38" ht="15.75" x14ac:dyDescent="0.25">
      <c r="A6" s="213"/>
      <c r="B6" s="219" t="s">
        <v>138</v>
      </c>
      <c r="C6" s="220" t="s">
        <v>139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</row>
    <row r="7" spans="1:38" ht="15.75" x14ac:dyDescent="0.25">
      <c r="A7" s="213"/>
      <c r="B7" s="219" t="s">
        <v>140</v>
      </c>
      <c r="C7" s="221" t="s">
        <v>141</v>
      </c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</row>
    <row r="8" spans="1:38" ht="15.75" x14ac:dyDescent="0.25">
      <c r="A8" s="213"/>
      <c r="B8" s="219" t="s">
        <v>140</v>
      </c>
      <c r="C8" s="221" t="s">
        <v>142</v>
      </c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</row>
    <row r="9" spans="1:38" ht="15.75" x14ac:dyDescent="0.25">
      <c r="A9" s="213"/>
      <c r="B9" s="219" t="s">
        <v>132</v>
      </c>
      <c r="C9" s="218" t="s">
        <v>133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</row>
    <row r="10" spans="1:38" ht="15.75" x14ac:dyDescent="0.25">
      <c r="A10" s="213"/>
      <c r="B10" s="219" t="s">
        <v>134</v>
      </c>
      <c r="C10" s="218" t="s">
        <v>135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</row>
    <row r="11" spans="1:38" ht="15.75" x14ac:dyDescent="0.25">
      <c r="A11" s="213"/>
      <c r="B11" s="219" t="s">
        <v>136</v>
      </c>
      <c r="C11" s="218" t="s">
        <v>137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</row>
    <row r="12" spans="1:38" ht="15.75" x14ac:dyDescent="0.25">
      <c r="A12" s="213"/>
      <c r="B12" s="219" t="s">
        <v>143</v>
      </c>
      <c r="C12" s="218" t="s">
        <v>144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</row>
    <row r="13" spans="1:38" ht="15.75" x14ac:dyDescent="0.25">
      <c r="A13" s="213"/>
      <c r="B13" s="222"/>
      <c r="C13" s="218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</row>
    <row r="14" spans="1:38" ht="15.75" x14ac:dyDescent="0.25">
      <c r="A14" s="213"/>
      <c r="B14" s="216" t="s">
        <v>145</v>
      </c>
      <c r="C14" s="223" t="s">
        <v>146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</row>
    <row r="15" spans="1:38" ht="15.75" x14ac:dyDescent="0.25">
      <c r="A15" s="213"/>
      <c r="B15" s="224" t="s">
        <v>147</v>
      </c>
      <c r="C15" s="225" t="s">
        <v>148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</row>
    <row r="16" spans="1:38" ht="15.75" x14ac:dyDescent="0.25">
      <c r="A16" s="213"/>
      <c r="B16" s="216" t="s">
        <v>152</v>
      </c>
      <c r="C16" s="223" t="s">
        <v>153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</row>
    <row r="17" spans="1:38" ht="15.75" x14ac:dyDescent="0.25">
      <c r="A17" s="213"/>
      <c r="B17" s="216" t="s">
        <v>149</v>
      </c>
      <c r="C17" s="223" t="s">
        <v>150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</row>
    <row r="18" spans="1:38" ht="15.75" x14ac:dyDescent="0.25">
      <c r="A18" s="213"/>
      <c r="B18" s="216" t="s">
        <v>189</v>
      </c>
      <c r="C18" s="223" t="s">
        <v>151</v>
      </c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</row>
    <row r="19" spans="1:38" ht="15.75" x14ac:dyDescent="0.25">
      <c r="A19" s="213"/>
      <c r="B19" s="216" t="s">
        <v>190</v>
      </c>
      <c r="C19" s="223" t="s">
        <v>164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</row>
    <row r="20" spans="1:38" ht="15.75" x14ac:dyDescent="0.25">
      <c r="A20" s="213"/>
      <c r="B20" s="224"/>
      <c r="C20" s="225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</row>
    <row r="21" spans="1:38" ht="15.75" x14ac:dyDescent="0.25">
      <c r="A21" s="213"/>
      <c r="B21" s="216" t="s">
        <v>154</v>
      </c>
      <c r="C21" s="223" t="s">
        <v>155</v>
      </c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</row>
    <row r="22" spans="1:38" ht="15.75" x14ac:dyDescent="0.25">
      <c r="A22" s="213"/>
      <c r="B22" s="216" t="s">
        <v>156</v>
      </c>
      <c r="C22" s="223" t="s">
        <v>157</v>
      </c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</row>
    <row r="23" spans="1:38" ht="15.75" x14ac:dyDescent="0.25">
      <c r="A23" s="213"/>
      <c r="B23" s="216" t="s">
        <v>158</v>
      </c>
      <c r="C23" s="223" t="s">
        <v>159</v>
      </c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</row>
    <row r="24" spans="1:38" ht="15.75" x14ac:dyDescent="0.25">
      <c r="A24" s="213"/>
      <c r="B24" s="216" t="s">
        <v>160</v>
      </c>
      <c r="C24" s="223" t="s">
        <v>161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</row>
    <row r="25" spans="1:38" ht="15.75" x14ac:dyDescent="0.25">
      <c r="A25" s="213"/>
      <c r="B25" s="216" t="s">
        <v>162</v>
      </c>
      <c r="C25" s="223" t="s">
        <v>163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</row>
    <row r="26" spans="1:38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</row>
    <row r="27" spans="1:38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</row>
    <row r="28" spans="1:38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</row>
    <row r="29" spans="1:38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</row>
    <row r="30" spans="1:38" ht="18.75" x14ac:dyDescent="0.3">
      <c r="A30" s="213"/>
      <c r="B30" s="26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</row>
    <row r="31" spans="1:38" ht="15.75" x14ac:dyDescent="0.25">
      <c r="A31" s="213"/>
      <c r="B31" s="261"/>
      <c r="C31" s="216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</row>
    <row r="32" spans="1:38" ht="15.75" x14ac:dyDescent="0.25">
      <c r="A32" s="213"/>
      <c r="B32" s="261"/>
      <c r="C32" s="216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</row>
    <row r="33" spans="1:38" ht="15.75" x14ac:dyDescent="0.25">
      <c r="A33" s="213"/>
      <c r="B33" s="262"/>
      <c r="C33" s="216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</row>
    <row r="34" spans="1:38" ht="15.75" x14ac:dyDescent="0.25">
      <c r="A34" s="213"/>
      <c r="B34" s="262"/>
      <c r="C34" s="216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</row>
    <row r="35" spans="1:38" ht="15.75" x14ac:dyDescent="0.25">
      <c r="A35" s="213"/>
      <c r="B35" s="262"/>
      <c r="C35" s="216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</row>
    <row r="36" spans="1:38" ht="15.75" x14ac:dyDescent="0.25">
      <c r="A36" s="213"/>
      <c r="B36" s="262"/>
      <c r="C36" s="216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</row>
    <row r="37" spans="1:38" ht="15.75" x14ac:dyDescent="0.25">
      <c r="A37" s="213"/>
      <c r="B37" s="2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</row>
    <row r="38" spans="1:38" ht="15.75" x14ac:dyDescent="0.25">
      <c r="A38" s="213"/>
      <c r="B38" s="2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</row>
    <row r="39" spans="1:38" ht="15.75" x14ac:dyDescent="0.25">
      <c r="A39" s="213"/>
      <c r="B39" s="262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</row>
    <row r="40" spans="1:38" ht="15.75" x14ac:dyDescent="0.25">
      <c r="A40" s="213"/>
      <c r="B40" s="264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</row>
    <row r="41" spans="1:38" ht="15.75" x14ac:dyDescent="0.25">
      <c r="A41" s="213"/>
      <c r="B41" s="213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</row>
    <row r="42" spans="1:38" ht="15.75" x14ac:dyDescent="0.25">
      <c r="A42" s="213"/>
      <c r="B42" s="213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</row>
    <row r="43" spans="1:38" ht="15.75" x14ac:dyDescent="0.25">
      <c r="A43" s="213"/>
      <c r="B43" s="213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</row>
    <row r="44" spans="1:38" ht="15.75" x14ac:dyDescent="0.25">
      <c r="A44" s="213"/>
      <c r="B44" s="213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</row>
    <row r="45" spans="1:38" ht="15.75" x14ac:dyDescent="0.25">
      <c r="A45" s="213"/>
      <c r="B45" s="213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</row>
    <row r="46" spans="1:38" ht="15.75" x14ac:dyDescent="0.25">
      <c r="A46" s="213"/>
      <c r="B46" s="213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</row>
    <row r="47" spans="1:38" ht="15.75" x14ac:dyDescent="0.25">
      <c r="A47" s="213"/>
      <c r="B47" s="213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</row>
  </sheetData>
  <hyperlinks>
    <hyperlink ref="C3" r:id="rId1" display="https://futurebeef.com.au/" xr:uid="{A518E2D9-5A0D-4189-9ABC-9998B2A8ECA8}"/>
    <hyperlink ref="C4" r:id="rId2" display="https://futurebeef.com.au/resources/forage-budgeting-videos/" xr:uid="{CC45E8EB-D57A-4285-9794-9F342A41EE29}"/>
    <hyperlink ref="C5" r:id="rId3" display="https://futurebeef.com.au/resources/beef-business-tools/" xr:uid="{23DFB2E8-89F2-40BA-8C94-20B4D64DAC0E}"/>
    <hyperlink ref="C9" r:id="rId4" display="https://futurebeef.com.au/resources/land-types-of-queensland/" xr:uid="{4D540E4F-1E7C-411D-8D29-86D3C3F63E68}"/>
    <hyperlink ref="C10" r:id="rId5" display="https://futurebeef.com.au/resources/pasture-photo-standards/" xr:uid="{C5EE1982-FC48-4BBA-B868-493685D7E1E8}"/>
    <hyperlink ref="C11" r:id="rId6" display="https://futurebeef.com.au/resources/lcat-pasture-guide/" xr:uid="{AD62BE2D-A7E3-468C-A45B-88E8CBA23893}"/>
    <hyperlink ref="C12" r:id="rId7" display="https://futurebeef.com.au/contact-us/" xr:uid="{90603878-78EE-4323-9214-4E67CF29ECAB}"/>
    <hyperlink ref="C17" r:id="rId8" display="https://rsq.org.au/" xr:uid="{4BF82E2B-41A8-43DF-A3DC-562E2C2A0433}"/>
    <hyperlink ref="C18" r:id="rId9" display="https://rfcssq.org.au/rural/" xr:uid="{499BD01C-0C4A-4848-8085-ADFAAA678680}"/>
    <hyperlink ref="C16" r:id="rId10" xr:uid="{C7EDC1B6-7737-49B4-8B30-D017B147DB73}"/>
    <hyperlink ref="C21" r:id="rId11" xr:uid="{EF00627C-9CA9-437B-94C7-CA0E6B7611E9}"/>
    <hyperlink ref="C22" r:id="rId12" xr:uid="{99BB219E-CA7D-4F27-BA16-2BA4F79C1F19}"/>
    <hyperlink ref="C23" r:id="rId13" xr:uid="{908AED5D-7E99-479A-B561-52AF4B13E5F1}"/>
    <hyperlink ref="C24" r:id="rId14" xr:uid="{3155FC15-C45F-4748-8AD6-20325A3B41A2}"/>
    <hyperlink ref="C25" r:id="rId15" display="https://www.rcsaustralia.com.au/managing-drought-conversation/" xr:uid="{D0F7BE01-1114-4F02-9422-7DCAB09C2B38}"/>
    <hyperlink ref="C14" r:id="rId16" display="https://www.qrida.qld.gov.au/program/drought-preparedness-grants" xr:uid="{7D32BFD7-EA1E-4DAA-8251-733EC3E1540D}"/>
    <hyperlink ref="C15" r:id="rId17" display="http://www.publications.qld.gov.au/dataset/farm-business-resilience-plan" xr:uid="{A47579FA-6E19-416D-BBF6-1BA469B0F5F2}"/>
    <hyperlink ref="C7" r:id="rId18" display="https://futurebeef.com.au/wp-content/uploads/2023/09/Implementing-wet-season-spelling-to-improve-and-recover-pasture-condition-MLA-logo-PO.pdf" xr:uid="{9C0790EB-713F-4E39-B024-4CFEB62DF23B}"/>
    <hyperlink ref="C8" r:id="rId19" display="https://futurebeef.com.au/news/give-it-a-rest/" xr:uid="{927EC81E-5E23-437C-9243-D8C9F8D133E5}"/>
    <hyperlink ref="C6" r:id="rId20" display="https://futurebeef.com.au/resources/land-condition/" xr:uid="{EFFAE82F-B641-444E-8AEC-EEB969F35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Sell v Feed</vt:lpstr>
      <vt:lpstr>Resource list</vt:lpstr>
    </vt:vector>
  </TitlesOfParts>
  <Company>Department of Primary Industries &amp;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Sneath</dc:creator>
  <cp:lastModifiedBy>Roger Sneath</cp:lastModifiedBy>
  <cp:lastPrinted>2013-05-15T03:46:23Z</cp:lastPrinted>
  <dcterms:created xsi:type="dcterms:W3CDTF">2013-05-15T03:16:40Z</dcterms:created>
  <dcterms:modified xsi:type="dcterms:W3CDTF">2026-08-13T04:53:56Z</dcterms:modified>
</cp:coreProperties>
</file>