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backupFile="1" codeName="ThisWorkbook" defaultThemeVersion="124226"/>
  <mc:AlternateContent xmlns:mc="http://schemas.openxmlformats.org/markup-compatibility/2006">
    <mc:Choice Requires="x15">
      <x15ac:absPath xmlns:x15ac="http://schemas.microsoft.com/office/spreadsheetml/2010/11/ac" url="C:\Users\wicksong\Downloads\"/>
    </mc:Choice>
  </mc:AlternateContent>
  <xr:revisionPtr revIDLastSave="0" documentId="8_{C1CEB9B2-2017-43BA-8199-550F6835FAE0}" xr6:coauthVersionLast="47" xr6:coauthVersionMax="47" xr10:uidLastSave="{00000000-0000-0000-0000-000000000000}"/>
  <bookViews>
    <workbookView xWindow="-120" yWindow="-120" windowWidth="29040" windowHeight="15720" tabRatio="912" firstSheet="2" activeTab="6" xr2:uid="{00000000-000D-0000-FFFF-FFFF00000000}"/>
  </bookViews>
  <sheets>
    <sheet name="AAAA" sheetId="1" state="veryHidden" r:id="rId1"/>
    <sheet name="BBBB" sheetId="2" state="veryHidden" r:id="rId2"/>
    <sheet name="Notes" sheetId="47" r:id="rId3"/>
    <sheet name="Prices" sheetId="48" r:id="rId4"/>
    <sheet name="Machines" sheetId="4" r:id="rId5"/>
    <sheet name="Treatments" sheetId="3" r:id="rId6"/>
    <sheet name="Gross margin summary" sheetId="6" r:id="rId7"/>
    <sheet name="Sheet2" sheetId="7" state="hidden" r:id="rId8"/>
    <sheet name="Sheet1" sheetId="8" state="hidden" r:id="rId9"/>
    <sheet name="Sheet3" sheetId="9" state="hidden" r:id="rId10"/>
    <sheet name="Buffel" sheetId="51" r:id="rId11"/>
    <sheet name="Leucaena" sheetId="50" r:id="rId12"/>
    <sheet name="Butterfly pea" sheetId="52" r:id="rId13"/>
    <sheet name="Lablab" sheetId="53" r:id="rId14"/>
    <sheet name="Forage sorghum" sheetId="54" r:id="rId15"/>
    <sheet name="Oats" sheetId="55" r:id="rId16"/>
    <sheet name="GM7" sheetId="58" r:id="rId17"/>
    <sheet name="GM8" sheetId="57" r:id="rId18"/>
    <sheet name="GM9" sheetId="56" r:id="rId19"/>
    <sheet name="GM10" sheetId="16" r:id="rId20"/>
    <sheet name="GM11" sheetId="59" r:id="rId21"/>
  </sheets>
  <definedNames>
    <definedName name="_Toc287529102" localSheetId="2">Notes!#REF!</definedName>
    <definedName name="_xlnm.Print_Area" localSheetId="19">'GM10'!#REF!</definedName>
    <definedName name="RiskAutoStopPercChange">1.5</definedName>
    <definedName name="RiskCollectDistributionSamples">2</definedName>
    <definedName name="RiskExcelReportsGoInNewWorkbook">TRUE</definedName>
    <definedName name="RiskExcelReportsToGenerate">0</definedName>
    <definedName name="RiskFixedSeed">1</definedName>
    <definedName name="RiskGenerateExcelReportsAtEndOfSimulation">FALSE</definedName>
    <definedName name="RiskHasSettings">TRUE</definedName>
    <definedName name="RiskMinimizeOnStart">FALSE</definedName>
    <definedName name="RiskMonitorConvergence">FALSE</definedName>
    <definedName name="RiskNumIterations">2000</definedName>
    <definedName name="RiskNumSimulations">1</definedName>
    <definedName name="RiskPauseOnError">FALSE</definedName>
    <definedName name="RiskRealTimeResults">FALSE</definedName>
    <definedName name="RiskReportGraphFormat">0</definedName>
    <definedName name="RiskResultsUpdateFreq">100</definedName>
    <definedName name="RiskRunAfterRecalcMacro">FALSE</definedName>
    <definedName name="RiskRunAfterSimMacro">FALSE</definedName>
    <definedName name="RiskRunBeforeRecalcMacro">FALSE</definedName>
    <definedName name="RiskRunBeforeSimMacro">FALSE</definedName>
    <definedName name="RiskSamplingType">3</definedName>
    <definedName name="RiskShowRiskWindowAtEndOfSimulation">TRUE</definedName>
    <definedName name="RiskStandardRecalc">1</definedName>
    <definedName name="RiskTemplateSheetName">"myTemplate"</definedName>
    <definedName name="RiskUpdateDisplay">FALSE</definedName>
    <definedName name="RiskUseDifferentSeedForEachSim">FALSE</definedName>
    <definedName name="RiskUseFixedSeed">FALSE</definedName>
    <definedName name="RiskUseMultipleCPUs">FALSE</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 i="57" l="1"/>
  <c r="C54" i="52"/>
  <c r="C54" i="50"/>
  <c r="G41" i="55" l="1"/>
  <c r="C22" i="51"/>
  <c r="Y130" i="55"/>
  <c r="C41" i="55"/>
  <c r="C29" i="55"/>
  <c r="H29" i="55" s="1"/>
  <c r="H54" i="55"/>
  <c r="L69" i="55" s="1"/>
  <c r="H69" i="55"/>
  <c r="H54" i="54"/>
  <c r="H69" i="54" s="1"/>
  <c r="C29" i="54"/>
  <c r="H29" i="54" s="1"/>
  <c r="L69" i="54"/>
  <c r="C41" i="54"/>
  <c r="H54" i="53"/>
  <c r="L69" i="53" s="1"/>
  <c r="C29" i="53"/>
  <c r="H29" i="53" s="1"/>
  <c r="L29" i="53"/>
  <c r="C41" i="53"/>
  <c r="H69" i="53"/>
  <c r="K54" i="52"/>
  <c r="D54" i="52"/>
  <c r="D94" i="52" s="1"/>
  <c r="D82" i="52"/>
  <c r="C15" i="51"/>
  <c r="C29" i="50"/>
  <c r="L29" i="50" s="1"/>
  <c r="H54" i="50"/>
  <c r="L69" i="50" s="1"/>
  <c r="M69" i="50" s="1"/>
  <c r="C41" i="50"/>
  <c r="M41" i="50" s="1"/>
  <c r="K54" i="50"/>
  <c r="H69" i="50"/>
  <c r="D54" i="50"/>
  <c r="D94" i="50" s="1"/>
  <c r="D82" i="50"/>
  <c r="C94" i="54"/>
  <c r="C94" i="53"/>
  <c r="F94" i="52"/>
  <c r="C94" i="50"/>
  <c r="F94" i="50"/>
  <c r="F28" i="51"/>
  <c r="H28" i="51"/>
  <c r="J27" i="51"/>
  <c r="J29" i="51" s="1"/>
  <c r="F146" i="51" s="1"/>
  <c r="J28" i="51"/>
  <c r="L27" i="51"/>
  <c r="L28" i="51"/>
  <c r="AA30" i="50"/>
  <c r="N40" i="6"/>
  <c r="E60" i="59"/>
  <c r="E167" i="59" s="1"/>
  <c r="N29" i="6" s="1"/>
  <c r="F22" i="59"/>
  <c r="D54" i="59"/>
  <c r="D82" i="59" s="1"/>
  <c r="C41" i="59"/>
  <c r="C82" i="59"/>
  <c r="G16" i="59"/>
  <c r="K54" i="59"/>
  <c r="L54" i="59" s="1"/>
  <c r="D69" i="59" s="1"/>
  <c r="C29" i="59"/>
  <c r="L69" i="59"/>
  <c r="M41" i="59"/>
  <c r="H69" i="59"/>
  <c r="E110" i="59"/>
  <c r="H110" i="59" s="1"/>
  <c r="I110" i="59" s="1"/>
  <c r="E111" i="59"/>
  <c r="H111" i="59" s="1"/>
  <c r="I111" i="59" s="1"/>
  <c r="E112" i="59"/>
  <c r="H112" i="59" s="1"/>
  <c r="I112" i="59" s="1"/>
  <c r="E113" i="59"/>
  <c r="H113" i="59" s="1"/>
  <c r="I113" i="59" s="1"/>
  <c r="E114" i="59"/>
  <c r="H114" i="59" s="1"/>
  <c r="I114" i="59" s="1"/>
  <c r="E115" i="59"/>
  <c r="H115" i="59" s="1"/>
  <c r="I115" i="59" s="1"/>
  <c r="E116" i="59"/>
  <c r="H116" i="59" s="1"/>
  <c r="I116" i="59" s="1"/>
  <c r="E117" i="59"/>
  <c r="H117" i="59" s="1"/>
  <c r="I117" i="59" s="1"/>
  <c r="E128" i="59"/>
  <c r="H128" i="59"/>
  <c r="I128" i="59" s="1"/>
  <c r="E129" i="59"/>
  <c r="H129" i="59" s="1"/>
  <c r="I129" i="59" s="1"/>
  <c r="E130" i="59"/>
  <c r="H130" i="59"/>
  <c r="I130" i="59" s="1"/>
  <c r="E131" i="59"/>
  <c r="H131" i="59" s="1"/>
  <c r="I131" i="59" s="1"/>
  <c r="E132" i="59"/>
  <c r="H132" i="59" s="1"/>
  <c r="I132" i="59" s="1"/>
  <c r="E127" i="59"/>
  <c r="H127" i="59" s="1"/>
  <c r="I127" i="59" s="1"/>
  <c r="E141" i="59"/>
  <c r="H141" i="59" s="1"/>
  <c r="I141" i="59" s="1"/>
  <c r="E142" i="59"/>
  <c r="H142" i="59" s="1"/>
  <c r="I142" i="59" s="1"/>
  <c r="E143" i="59"/>
  <c r="H143" i="59" s="1"/>
  <c r="I143" i="59" s="1"/>
  <c r="E144" i="59"/>
  <c r="H144" i="59" s="1"/>
  <c r="I144" i="59" s="1"/>
  <c r="E145" i="59"/>
  <c r="H145" i="59" s="1"/>
  <c r="I145" i="59" s="1"/>
  <c r="E118" i="59"/>
  <c r="H118" i="59" s="1"/>
  <c r="I118" i="59" s="1"/>
  <c r="E119" i="59"/>
  <c r="H119" i="59"/>
  <c r="I119" i="59" s="1"/>
  <c r="E120" i="59"/>
  <c r="H120" i="59" s="1"/>
  <c r="I120" i="59" s="1"/>
  <c r="E121" i="59"/>
  <c r="H121" i="59" s="1"/>
  <c r="I121" i="59" s="1"/>
  <c r="E122" i="59"/>
  <c r="H122" i="59" s="1"/>
  <c r="I122" i="59" s="1"/>
  <c r="E123" i="59"/>
  <c r="H123" i="59" s="1"/>
  <c r="I123" i="59" s="1"/>
  <c r="E124" i="59"/>
  <c r="H124" i="59" s="1"/>
  <c r="I124" i="59" s="1"/>
  <c r="E133" i="59"/>
  <c r="H133" i="59" s="1"/>
  <c r="I133" i="59" s="1"/>
  <c r="E134" i="59"/>
  <c r="H134" i="59" s="1"/>
  <c r="I134" i="59" s="1"/>
  <c r="E135" i="59"/>
  <c r="H135" i="59" s="1"/>
  <c r="I135" i="59" s="1"/>
  <c r="E136" i="59"/>
  <c r="H136" i="59"/>
  <c r="I136" i="59" s="1"/>
  <c r="E137" i="59"/>
  <c r="H137" i="59" s="1"/>
  <c r="I137" i="59" s="1"/>
  <c r="E138" i="59"/>
  <c r="H138" i="59" s="1"/>
  <c r="I138" i="59" s="1"/>
  <c r="E146" i="59"/>
  <c r="H146" i="59" s="1"/>
  <c r="I146" i="59" s="1"/>
  <c r="O110" i="59"/>
  <c r="S110" i="59"/>
  <c r="O111" i="59"/>
  <c r="S111" i="59" s="1"/>
  <c r="O112" i="59"/>
  <c r="S112" i="59" s="1"/>
  <c r="O113" i="59"/>
  <c r="S113" i="59" s="1"/>
  <c r="O114" i="59"/>
  <c r="S114" i="59"/>
  <c r="O115" i="59"/>
  <c r="S115" i="59" s="1"/>
  <c r="O118" i="59"/>
  <c r="S118" i="59" s="1"/>
  <c r="O119" i="59"/>
  <c r="S119" i="59" s="1"/>
  <c r="O120" i="59"/>
  <c r="S120" i="59"/>
  <c r="O121" i="59"/>
  <c r="S121" i="59" s="1"/>
  <c r="O122" i="59"/>
  <c r="S122" i="59" s="1"/>
  <c r="O123" i="59"/>
  <c r="S123" i="59" s="1"/>
  <c r="O124" i="59"/>
  <c r="S124" i="59"/>
  <c r="O125" i="59"/>
  <c r="S125" i="59" s="1"/>
  <c r="O126" i="59"/>
  <c r="S126" i="59" s="1"/>
  <c r="O127" i="59"/>
  <c r="S127" i="59" s="1"/>
  <c r="O128" i="59"/>
  <c r="S128" i="59"/>
  <c r="O129" i="59"/>
  <c r="S129" i="59" s="1"/>
  <c r="O132" i="59"/>
  <c r="S132" i="59" s="1"/>
  <c r="O133" i="59"/>
  <c r="S133" i="59" s="1"/>
  <c r="O134" i="59"/>
  <c r="S134" i="59"/>
  <c r="O135" i="59"/>
  <c r="S135" i="59" s="1"/>
  <c r="O136" i="59"/>
  <c r="S136" i="59" s="1"/>
  <c r="O137" i="59"/>
  <c r="S137" i="59" s="1"/>
  <c r="E60" i="16"/>
  <c r="F22" i="16"/>
  <c r="D54" i="16"/>
  <c r="D82" i="16" s="1"/>
  <c r="C41" i="16"/>
  <c r="M41" i="16" s="1"/>
  <c r="G16" i="16"/>
  <c r="K54" i="16"/>
  <c r="L54" i="16"/>
  <c r="C29" i="16"/>
  <c r="H29" i="16" s="1"/>
  <c r="L29" i="16"/>
  <c r="L69" i="16"/>
  <c r="H69" i="16"/>
  <c r="E110" i="16"/>
  <c r="H110" i="16" s="1"/>
  <c r="I110" i="16" s="1"/>
  <c r="E111" i="16"/>
  <c r="H111" i="16" s="1"/>
  <c r="I111" i="16"/>
  <c r="E112" i="16"/>
  <c r="H112" i="16" s="1"/>
  <c r="I112" i="16" s="1"/>
  <c r="E113" i="16"/>
  <c r="H113" i="16" s="1"/>
  <c r="I113" i="16" s="1"/>
  <c r="E114" i="16"/>
  <c r="H114" i="16"/>
  <c r="I114" i="16" s="1"/>
  <c r="E115" i="16"/>
  <c r="H115" i="16" s="1"/>
  <c r="I115" i="16"/>
  <c r="E116" i="16"/>
  <c r="H116" i="16" s="1"/>
  <c r="I116" i="16" s="1"/>
  <c r="E117" i="16"/>
  <c r="H117" i="16" s="1"/>
  <c r="I117" i="16" s="1"/>
  <c r="E118" i="16"/>
  <c r="H118" i="16" s="1"/>
  <c r="I118" i="16" s="1"/>
  <c r="E119" i="16"/>
  <c r="H119" i="16" s="1"/>
  <c r="I119" i="16"/>
  <c r="E120" i="16"/>
  <c r="H120" i="16" s="1"/>
  <c r="I120" i="16" s="1"/>
  <c r="E121" i="16"/>
  <c r="H121" i="16" s="1"/>
  <c r="I121" i="16" s="1"/>
  <c r="E122" i="16"/>
  <c r="H122" i="16" s="1"/>
  <c r="I122" i="16" s="1"/>
  <c r="E127" i="16"/>
  <c r="H127" i="16" s="1"/>
  <c r="I127" i="16" s="1"/>
  <c r="E128" i="16"/>
  <c r="H128" i="16" s="1"/>
  <c r="I128" i="16" s="1"/>
  <c r="E129" i="16"/>
  <c r="H129" i="16" s="1"/>
  <c r="I129" i="16" s="1"/>
  <c r="E130" i="16"/>
  <c r="H130" i="16" s="1"/>
  <c r="I130" i="16" s="1"/>
  <c r="E131" i="16"/>
  <c r="H131" i="16" s="1"/>
  <c r="I131" i="16"/>
  <c r="E132" i="16"/>
  <c r="H132" i="16" s="1"/>
  <c r="I132" i="16" s="1"/>
  <c r="E133" i="16"/>
  <c r="H133" i="16" s="1"/>
  <c r="I133" i="16" s="1"/>
  <c r="E134" i="16"/>
  <c r="H134" i="16"/>
  <c r="I134" i="16" s="1"/>
  <c r="E135" i="16"/>
  <c r="H135" i="16" s="1"/>
  <c r="I135" i="16" s="1"/>
  <c r="E141" i="16"/>
  <c r="H141" i="16" s="1"/>
  <c r="I141" i="16" s="1"/>
  <c r="E142" i="16"/>
  <c r="H142" i="16" s="1"/>
  <c r="I142" i="16" s="1"/>
  <c r="E143" i="16"/>
  <c r="H143" i="16" s="1"/>
  <c r="I143" i="16" s="1"/>
  <c r="E144" i="16"/>
  <c r="H144" i="16" s="1"/>
  <c r="I144" i="16" s="1"/>
  <c r="E145" i="16"/>
  <c r="H145" i="16" s="1"/>
  <c r="I145" i="16" s="1"/>
  <c r="E146" i="16"/>
  <c r="H146" i="16" s="1"/>
  <c r="I146" i="16" s="1"/>
  <c r="E123" i="16"/>
  <c r="H123" i="16"/>
  <c r="I123" i="16" s="1"/>
  <c r="E124" i="16"/>
  <c r="H124" i="16" s="1"/>
  <c r="I124" i="16" s="1"/>
  <c r="E136" i="16"/>
  <c r="H136" i="16" s="1"/>
  <c r="I136" i="16" s="1"/>
  <c r="E137" i="16"/>
  <c r="H137" i="16" s="1"/>
  <c r="I137" i="16" s="1"/>
  <c r="E138" i="16"/>
  <c r="H138" i="16" s="1"/>
  <c r="I138" i="16" s="1"/>
  <c r="O110" i="16"/>
  <c r="S110" i="16" s="1"/>
  <c r="O111" i="16"/>
  <c r="S111" i="16" s="1"/>
  <c r="O112" i="16"/>
  <c r="S112" i="16" s="1"/>
  <c r="O113" i="16"/>
  <c r="S113" i="16" s="1"/>
  <c r="O114" i="16"/>
  <c r="S114" i="16" s="1"/>
  <c r="O115" i="16"/>
  <c r="S115" i="16" s="1"/>
  <c r="O118" i="16"/>
  <c r="S118" i="16" s="1"/>
  <c r="O119" i="16"/>
  <c r="S119" i="16"/>
  <c r="O120" i="16"/>
  <c r="S120" i="16" s="1"/>
  <c r="O121" i="16"/>
  <c r="S121" i="16" s="1"/>
  <c r="O122" i="16"/>
  <c r="S122" i="16" s="1"/>
  <c r="O123" i="16"/>
  <c r="S123" i="16" s="1"/>
  <c r="O124" i="16"/>
  <c r="S124" i="16" s="1"/>
  <c r="O125" i="16"/>
  <c r="S125" i="16" s="1"/>
  <c r="O126" i="16"/>
  <c r="S126" i="16" s="1"/>
  <c r="O127" i="16"/>
  <c r="S127" i="16"/>
  <c r="O128" i="16"/>
  <c r="S128" i="16" s="1"/>
  <c r="O129" i="16"/>
  <c r="S129" i="16" s="1"/>
  <c r="O132" i="16"/>
  <c r="S132" i="16" s="1"/>
  <c r="O133" i="16"/>
  <c r="S133" i="16"/>
  <c r="O134" i="16"/>
  <c r="S134" i="16" s="1"/>
  <c r="O135" i="16"/>
  <c r="S135" i="16" s="1"/>
  <c r="O136" i="16"/>
  <c r="S136" i="16" s="1"/>
  <c r="O137" i="16"/>
  <c r="S137" i="16"/>
  <c r="E60" i="56"/>
  <c r="F22" i="56"/>
  <c r="D54" i="56"/>
  <c r="D82" i="56" s="1"/>
  <c r="C41" i="56"/>
  <c r="C82" i="56" s="1"/>
  <c r="G16" i="56"/>
  <c r="K54" i="56"/>
  <c r="L54" i="56" s="1"/>
  <c r="C29" i="56"/>
  <c r="H29" i="56" s="1"/>
  <c r="L69" i="56"/>
  <c r="M41" i="56"/>
  <c r="H69" i="56"/>
  <c r="E110" i="56"/>
  <c r="H110" i="56"/>
  <c r="I110" i="56" s="1"/>
  <c r="E111" i="56"/>
  <c r="H111" i="56" s="1"/>
  <c r="I111" i="56"/>
  <c r="E112" i="56"/>
  <c r="H112" i="56" s="1"/>
  <c r="I112" i="56" s="1"/>
  <c r="E113" i="56"/>
  <c r="H113" i="56" s="1"/>
  <c r="I113" i="56" s="1"/>
  <c r="E114" i="56"/>
  <c r="H114" i="56" s="1"/>
  <c r="I114" i="56" s="1"/>
  <c r="E115" i="56"/>
  <c r="H115" i="56" s="1"/>
  <c r="I115" i="56"/>
  <c r="E116" i="56"/>
  <c r="H116" i="56" s="1"/>
  <c r="I116" i="56" s="1"/>
  <c r="E117" i="56"/>
  <c r="H117" i="56" s="1"/>
  <c r="I117" i="56" s="1"/>
  <c r="E118" i="56"/>
  <c r="H118" i="56" s="1"/>
  <c r="I118" i="56" s="1"/>
  <c r="E119" i="56"/>
  <c r="H119" i="56" s="1"/>
  <c r="I119" i="56" s="1"/>
  <c r="E120" i="56"/>
  <c r="H120" i="56" s="1"/>
  <c r="I120" i="56" s="1"/>
  <c r="E121" i="56"/>
  <c r="H121" i="56" s="1"/>
  <c r="I121" i="56" s="1"/>
  <c r="E122" i="56"/>
  <c r="H122" i="56" s="1"/>
  <c r="I122" i="56" s="1"/>
  <c r="E123" i="56"/>
  <c r="H123" i="56" s="1"/>
  <c r="I123" i="56"/>
  <c r="E124" i="56"/>
  <c r="H124" i="56" s="1"/>
  <c r="I124" i="56" s="1"/>
  <c r="E127" i="56"/>
  <c r="H127" i="56" s="1"/>
  <c r="I127" i="56" s="1"/>
  <c r="E128" i="56"/>
  <c r="H128" i="56"/>
  <c r="I128" i="56" s="1"/>
  <c r="E129" i="56"/>
  <c r="H129" i="56" s="1"/>
  <c r="I129" i="56" s="1"/>
  <c r="E130" i="56"/>
  <c r="H130" i="56" s="1"/>
  <c r="I130" i="56" s="1"/>
  <c r="E131" i="56"/>
  <c r="H131" i="56" s="1"/>
  <c r="I131" i="56" s="1"/>
  <c r="E132" i="56"/>
  <c r="H132" i="56" s="1"/>
  <c r="I132" i="56" s="1"/>
  <c r="E133" i="56"/>
  <c r="H133" i="56" s="1"/>
  <c r="I133" i="56" s="1"/>
  <c r="E134" i="56"/>
  <c r="H134" i="56" s="1"/>
  <c r="I134" i="56" s="1"/>
  <c r="E135" i="56"/>
  <c r="H135" i="56" s="1"/>
  <c r="I135" i="56" s="1"/>
  <c r="E136" i="56"/>
  <c r="H136" i="56"/>
  <c r="I136" i="56" s="1"/>
  <c r="E137" i="56"/>
  <c r="H137" i="56" s="1"/>
  <c r="I137" i="56" s="1"/>
  <c r="E138" i="56"/>
  <c r="H138" i="56" s="1"/>
  <c r="I138" i="56" s="1"/>
  <c r="E141" i="56"/>
  <c r="H141" i="56" s="1"/>
  <c r="I141" i="56" s="1"/>
  <c r="E142" i="56"/>
  <c r="H142" i="56" s="1"/>
  <c r="I142" i="56" s="1"/>
  <c r="E143" i="56"/>
  <c r="H143" i="56" s="1"/>
  <c r="I143" i="56"/>
  <c r="E144" i="56"/>
  <c r="H144" i="56" s="1"/>
  <c r="I144" i="56" s="1"/>
  <c r="E145" i="56"/>
  <c r="H145" i="56" s="1"/>
  <c r="I145" i="56" s="1"/>
  <c r="E146" i="56"/>
  <c r="H146" i="56"/>
  <c r="I146" i="56" s="1"/>
  <c r="O110" i="56"/>
  <c r="S110" i="56" s="1"/>
  <c r="O111" i="56"/>
  <c r="S111" i="56" s="1"/>
  <c r="O112" i="56"/>
  <c r="S112" i="56" s="1"/>
  <c r="O113" i="56"/>
  <c r="S113" i="56" s="1"/>
  <c r="T113" i="56" s="1"/>
  <c r="O114" i="56"/>
  <c r="S114" i="56" s="1"/>
  <c r="O115" i="56"/>
  <c r="S115" i="56" s="1"/>
  <c r="O118" i="56"/>
  <c r="S118" i="56" s="1"/>
  <c r="O119" i="56"/>
  <c r="S119" i="56" s="1"/>
  <c r="O120" i="56"/>
  <c r="S120" i="56" s="1"/>
  <c r="O121" i="56"/>
  <c r="S121" i="56" s="1"/>
  <c r="O122" i="56"/>
  <c r="S122" i="56" s="1"/>
  <c r="O123" i="56"/>
  <c r="S123" i="56"/>
  <c r="O124" i="56"/>
  <c r="S124" i="56" s="1"/>
  <c r="O125" i="56"/>
  <c r="S125" i="56" s="1"/>
  <c r="O126" i="56"/>
  <c r="S126" i="56" s="1"/>
  <c r="O127" i="56"/>
  <c r="S127" i="56" s="1"/>
  <c r="O128" i="56"/>
  <c r="S128" i="56" s="1"/>
  <c r="O129" i="56"/>
  <c r="S129" i="56" s="1"/>
  <c r="O132" i="56"/>
  <c r="S132" i="56" s="1"/>
  <c r="O133" i="56"/>
  <c r="S133" i="56"/>
  <c r="O134" i="56"/>
  <c r="S134" i="56" s="1"/>
  <c r="O135" i="56"/>
  <c r="S135" i="56" s="1"/>
  <c r="O136" i="56"/>
  <c r="S136" i="56" s="1"/>
  <c r="O137" i="56"/>
  <c r="S137" i="56"/>
  <c r="E60" i="57"/>
  <c r="E167" i="57" s="1"/>
  <c r="K29" i="6" s="1"/>
  <c r="F22" i="57"/>
  <c r="D54" i="57"/>
  <c r="D82" i="57" s="1"/>
  <c r="C41" i="57"/>
  <c r="C82" i="57"/>
  <c r="G16" i="57"/>
  <c r="K54" i="57"/>
  <c r="L54" i="57" s="1"/>
  <c r="C29" i="57"/>
  <c r="H29" i="57" s="1"/>
  <c r="L69" i="57"/>
  <c r="M41" i="57"/>
  <c r="H69" i="57"/>
  <c r="O110" i="57"/>
  <c r="S110" i="57"/>
  <c r="O111" i="57"/>
  <c r="S111" i="57" s="1"/>
  <c r="O112" i="57"/>
  <c r="S112" i="57"/>
  <c r="O113" i="57"/>
  <c r="S113" i="57" s="1"/>
  <c r="O114" i="57"/>
  <c r="S114" i="57"/>
  <c r="O118" i="57"/>
  <c r="S118" i="57" s="1"/>
  <c r="O119" i="57"/>
  <c r="S119" i="57"/>
  <c r="O120" i="57"/>
  <c r="S120" i="57" s="1"/>
  <c r="O121" i="57"/>
  <c r="S121" i="57"/>
  <c r="O122" i="57"/>
  <c r="S122" i="57" s="1"/>
  <c r="O123" i="57"/>
  <c r="S123" i="57"/>
  <c r="O124" i="57"/>
  <c r="S124" i="57" s="1"/>
  <c r="O125" i="57"/>
  <c r="S125" i="57"/>
  <c r="O126" i="57"/>
  <c r="S126" i="57" s="1"/>
  <c r="O127" i="57"/>
  <c r="S127" i="57"/>
  <c r="O128" i="57"/>
  <c r="S128" i="57" s="1"/>
  <c r="O133" i="57"/>
  <c r="S133" i="57"/>
  <c r="O134" i="57"/>
  <c r="S134" i="57" s="1"/>
  <c r="O135" i="57"/>
  <c r="S135" i="57"/>
  <c r="O136" i="57"/>
  <c r="S136" i="57" s="1"/>
  <c r="O132" i="57"/>
  <c r="S132" i="57"/>
  <c r="O129" i="57"/>
  <c r="S129" i="57" s="1"/>
  <c r="O115" i="57"/>
  <c r="S115" i="57"/>
  <c r="O137" i="57"/>
  <c r="S137" i="57" s="1"/>
  <c r="E110" i="57"/>
  <c r="H110" i="57" s="1"/>
  <c r="I110" i="57" s="1"/>
  <c r="E111" i="57"/>
  <c r="H111" i="57" s="1"/>
  <c r="I111" i="57" s="1"/>
  <c r="E112" i="57"/>
  <c r="H112" i="57" s="1"/>
  <c r="I112" i="57" s="1"/>
  <c r="E113" i="57"/>
  <c r="H113" i="57" s="1"/>
  <c r="I113" i="57" s="1"/>
  <c r="E114" i="57"/>
  <c r="H114" i="57" s="1"/>
  <c r="I114" i="57" s="1"/>
  <c r="E115" i="57"/>
  <c r="H115" i="57" s="1"/>
  <c r="I115" i="57" s="1"/>
  <c r="E116" i="57"/>
  <c r="H116" i="57" s="1"/>
  <c r="I116" i="57" s="1"/>
  <c r="E117" i="57"/>
  <c r="H117" i="57" s="1"/>
  <c r="I117" i="57"/>
  <c r="E118" i="57"/>
  <c r="H118" i="57" s="1"/>
  <c r="I118" i="57" s="1"/>
  <c r="E119" i="57"/>
  <c r="H119" i="57" s="1"/>
  <c r="I119" i="57" s="1"/>
  <c r="E120" i="57"/>
  <c r="H120" i="57"/>
  <c r="I120" i="57" s="1"/>
  <c r="E121" i="57"/>
  <c r="H121" i="57" s="1"/>
  <c r="I121" i="57" s="1"/>
  <c r="E122" i="57"/>
  <c r="H122" i="57" s="1"/>
  <c r="I122" i="57" s="1"/>
  <c r="E123" i="57"/>
  <c r="H123" i="57" s="1"/>
  <c r="I123" i="57" s="1"/>
  <c r="E124" i="57"/>
  <c r="H124" i="57" s="1"/>
  <c r="I124" i="57" s="1"/>
  <c r="E127" i="57"/>
  <c r="H127" i="57" s="1"/>
  <c r="I127" i="57" s="1"/>
  <c r="E128" i="57"/>
  <c r="H128" i="57"/>
  <c r="I128" i="57" s="1"/>
  <c r="E129" i="57"/>
  <c r="H129" i="57" s="1"/>
  <c r="I129" i="57" s="1"/>
  <c r="E130" i="57"/>
  <c r="H130" i="57" s="1"/>
  <c r="I130" i="57" s="1"/>
  <c r="E131" i="57"/>
  <c r="H131" i="57" s="1"/>
  <c r="I131" i="57" s="1"/>
  <c r="E132" i="57"/>
  <c r="H132" i="57"/>
  <c r="I132" i="57" s="1"/>
  <c r="E133" i="57"/>
  <c r="H133" i="57" s="1"/>
  <c r="I133" i="57" s="1"/>
  <c r="E134" i="57"/>
  <c r="H134" i="57"/>
  <c r="I134" i="57" s="1"/>
  <c r="E135" i="57"/>
  <c r="H135" i="57" s="1"/>
  <c r="I135" i="57" s="1"/>
  <c r="E136" i="57"/>
  <c r="H136" i="57" s="1"/>
  <c r="I136" i="57" s="1"/>
  <c r="E137" i="57"/>
  <c r="H137" i="57" s="1"/>
  <c r="I137" i="57" s="1"/>
  <c r="E138" i="57"/>
  <c r="H138" i="57"/>
  <c r="I138" i="57"/>
  <c r="E141" i="57"/>
  <c r="H141" i="57" s="1"/>
  <c r="I141" i="57"/>
  <c r="E142" i="57"/>
  <c r="H142" i="57" s="1"/>
  <c r="I142" i="57" s="1"/>
  <c r="E143" i="57"/>
  <c r="H143" i="57"/>
  <c r="I143" i="57" s="1"/>
  <c r="E144" i="57"/>
  <c r="H144" i="57"/>
  <c r="I144" i="57" s="1"/>
  <c r="E145" i="57"/>
  <c r="H145" i="57" s="1"/>
  <c r="I145" i="57" s="1"/>
  <c r="E146" i="57"/>
  <c r="H146" i="57" s="1"/>
  <c r="I146" i="57" s="1"/>
  <c r="E60" i="55"/>
  <c r="F22" i="55"/>
  <c r="E167" i="55"/>
  <c r="I29" i="6" s="1"/>
  <c r="E113" i="55"/>
  <c r="H113" i="55" s="1"/>
  <c r="I113" i="55" s="1"/>
  <c r="E114" i="55"/>
  <c r="H114" i="55" s="1"/>
  <c r="I114" i="55" s="1"/>
  <c r="E115" i="55"/>
  <c r="H115" i="55" s="1"/>
  <c r="I115" i="55" s="1"/>
  <c r="E116" i="55"/>
  <c r="H116" i="55" s="1"/>
  <c r="I116" i="55" s="1"/>
  <c r="E117" i="55"/>
  <c r="H117" i="55"/>
  <c r="I117" i="55" s="1"/>
  <c r="E118" i="55"/>
  <c r="H118" i="55" s="1"/>
  <c r="I118" i="55" s="1"/>
  <c r="E119" i="55"/>
  <c r="H119" i="55" s="1"/>
  <c r="I119" i="55" s="1"/>
  <c r="E120" i="55"/>
  <c r="H120" i="55"/>
  <c r="I120" i="55" s="1"/>
  <c r="E121" i="55"/>
  <c r="H121" i="55" s="1"/>
  <c r="I121" i="55" s="1"/>
  <c r="E122" i="55"/>
  <c r="H122" i="55"/>
  <c r="I122" i="55" s="1"/>
  <c r="E123" i="55"/>
  <c r="H123" i="55" s="1"/>
  <c r="I123" i="55" s="1"/>
  <c r="E124" i="55"/>
  <c r="H124" i="55" s="1"/>
  <c r="I124" i="55" s="1"/>
  <c r="E127" i="55"/>
  <c r="H127" i="55" s="1"/>
  <c r="I127" i="55" s="1"/>
  <c r="E129" i="55"/>
  <c r="H129" i="55"/>
  <c r="I129" i="55" s="1"/>
  <c r="E131" i="55"/>
  <c r="H131" i="55" s="1"/>
  <c r="I131" i="55" s="1"/>
  <c r="E132" i="55"/>
  <c r="H132" i="55" s="1"/>
  <c r="I132" i="55"/>
  <c r="E133" i="55"/>
  <c r="H133" i="55" s="1"/>
  <c r="I133" i="55" s="1"/>
  <c r="E134" i="55"/>
  <c r="H134" i="55" s="1"/>
  <c r="I134" i="55" s="1"/>
  <c r="E135" i="55"/>
  <c r="H135" i="55" s="1"/>
  <c r="I135" i="55" s="1"/>
  <c r="E136" i="55"/>
  <c r="H136" i="55" s="1"/>
  <c r="I136" i="55"/>
  <c r="E137" i="55"/>
  <c r="H137" i="55" s="1"/>
  <c r="I137" i="55" s="1"/>
  <c r="E138" i="55"/>
  <c r="H138" i="55" s="1"/>
  <c r="I138" i="55"/>
  <c r="E141" i="55"/>
  <c r="H141" i="55" s="1"/>
  <c r="I141" i="55" s="1"/>
  <c r="E143" i="55"/>
  <c r="H143" i="55" s="1"/>
  <c r="I143" i="55" s="1"/>
  <c r="E144" i="55"/>
  <c r="H144" i="55" s="1"/>
  <c r="I144" i="55" s="1"/>
  <c r="E145" i="55"/>
  <c r="H145" i="55"/>
  <c r="I145" i="55" s="1"/>
  <c r="E146" i="55"/>
  <c r="H146" i="55" s="1"/>
  <c r="I146" i="55" s="1"/>
  <c r="O110" i="55"/>
  <c r="S110" i="55"/>
  <c r="O111" i="55"/>
  <c r="S111" i="55" s="1"/>
  <c r="T111" i="55" s="1"/>
  <c r="O112" i="55"/>
  <c r="S112" i="55" s="1"/>
  <c r="T112" i="55" s="1"/>
  <c r="O113" i="55"/>
  <c r="S113" i="55" s="1"/>
  <c r="T113" i="55" s="1"/>
  <c r="O114" i="55"/>
  <c r="S114" i="55"/>
  <c r="T114" i="55" s="1"/>
  <c r="O115" i="55"/>
  <c r="S115" i="55" s="1"/>
  <c r="T115" i="55" s="1"/>
  <c r="O118" i="55"/>
  <c r="S118" i="55"/>
  <c r="T118" i="55" s="1"/>
  <c r="O119" i="55"/>
  <c r="S119" i="55" s="1"/>
  <c r="T119" i="55" s="1"/>
  <c r="O120" i="55"/>
  <c r="S120" i="55" s="1"/>
  <c r="T120" i="55" s="1"/>
  <c r="O121" i="55"/>
  <c r="S121" i="55" s="1"/>
  <c r="T121" i="55" s="1"/>
  <c r="O122" i="55"/>
  <c r="S122" i="55"/>
  <c r="T122" i="55" s="1"/>
  <c r="O123" i="55"/>
  <c r="S123" i="55" s="1"/>
  <c r="T123" i="55" s="1"/>
  <c r="O124" i="55"/>
  <c r="S124" i="55"/>
  <c r="T124" i="55" s="1"/>
  <c r="O125" i="55"/>
  <c r="S125" i="55" s="1"/>
  <c r="T125" i="55" s="1"/>
  <c r="O126" i="55"/>
  <c r="S126" i="55" s="1"/>
  <c r="T126" i="55" s="1"/>
  <c r="O127" i="55"/>
  <c r="S127" i="55" s="1"/>
  <c r="T127" i="55" s="1"/>
  <c r="O128" i="55"/>
  <c r="S128" i="55"/>
  <c r="T128" i="55" s="1"/>
  <c r="O129" i="55"/>
  <c r="S129" i="55" s="1"/>
  <c r="T129" i="55" s="1"/>
  <c r="O132" i="55"/>
  <c r="S132" i="55"/>
  <c r="T132" i="55" s="1"/>
  <c r="O133" i="55"/>
  <c r="S133" i="55" s="1"/>
  <c r="T133" i="55" s="1"/>
  <c r="O134" i="55"/>
  <c r="S134" i="55" s="1"/>
  <c r="O135" i="55"/>
  <c r="S135" i="55" s="1"/>
  <c r="T135" i="55" s="1"/>
  <c r="O136" i="55"/>
  <c r="S136" i="55"/>
  <c r="T136" i="55" s="1"/>
  <c r="O137" i="55"/>
  <c r="S137" i="55" s="1"/>
  <c r="T137" i="55" s="1"/>
  <c r="E60" i="54"/>
  <c r="F22" i="54"/>
  <c r="E113" i="54"/>
  <c r="H113" i="54" s="1"/>
  <c r="I113" i="54" s="1"/>
  <c r="E114" i="54"/>
  <c r="H114" i="54"/>
  <c r="I114" i="54" s="1"/>
  <c r="E115" i="54"/>
  <c r="H115" i="54" s="1"/>
  <c r="I115" i="54" s="1"/>
  <c r="E116" i="54"/>
  <c r="H116" i="54"/>
  <c r="I116" i="54" s="1"/>
  <c r="E117" i="54"/>
  <c r="H117" i="54" s="1"/>
  <c r="I117" i="54" s="1"/>
  <c r="E118" i="54"/>
  <c r="H118" i="54"/>
  <c r="I118" i="54" s="1"/>
  <c r="E119" i="54"/>
  <c r="H119" i="54" s="1"/>
  <c r="I119" i="54" s="1"/>
  <c r="E120" i="54"/>
  <c r="H120" i="54"/>
  <c r="I120" i="54" s="1"/>
  <c r="E121" i="54"/>
  <c r="H121" i="54" s="1"/>
  <c r="I121" i="54" s="1"/>
  <c r="E122" i="54"/>
  <c r="H122" i="54"/>
  <c r="I122" i="54" s="1"/>
  <c r="E123" i="54"/>
  <c r="H123" i="54" s="1"/>
  <c r="I123" i="54" s="1"/>
  <c r="E124" i="54"/>
  <c r="H124" i="54"/>
  <c r="I124" i="54" s="1"/>
  <c r="E127" i="54"/>
  <c r="H127" i="54" s="1"/>
  <c r="I127" i="54" s="1"/>
  <c r="E129" i="54"/>
  <c r="H129" i="54" s="1"/>
  <c r="I129" i="54" s="1"/>
  <c r="E130" i="54"/>
  <c r="H130" i="54"/>
  <c r="I130" i="54" s="1"/>
  <c r="E132" i="54"/>
  <c r="H132" i="54"/>
  <c r="I132" i="54" s="1"/>
  <c r="E133" i="54"/>
  <c r="H133" i="54" s="1"/>
  <c r="I133" i="54" s="1"/>
  <c r="E134" i="54"/>
  <c r="H134" i="54" s="1"/>
  <c r="I134" i="54" s="1"/>
  <c r="E135" i="54"/>
  <c r="H135" i="54" s="1"/>
  <c r="I135" i="54" s="1"/>
  <c r="E136" i="54"/>
  <c r="H136" i="54" s="1"/>
  <c r="I136" i="54" s="1"/>
  <c r="E137" i="54"/>
  <c r="H137" i="54" s="1"/>
  <c r="I137" i="54" s="1"/>
  <c r="E138" i="54"/>
  <c r="H138" i="54"/>
  <c r="I138" i="54" s="1"/>
  <c r="E141" i="54"/>
  <c r="H141" i="54" s="1"/>
  <c r="I141" i="54" s="1"/>
  <c r="E143" i="54"/>
  <c r="H143" i="54" s="1"/>
  <c r="I143" i="54"/>
  <c r="E144" i="54"/>
  <c r="H144" i="54" s="1"/>
  <c r="I144" i="54" s="1"/>
  <c r="E145" i="54"/>
  <c r="H145" i="54" s="1"/>
  <c r="I145" i="54"/>
  <c r="E146" i="54"/>
  <c r="H146" i="54" s="1"/>
  <c r="I146" i="54" s="1"/>
  <c r="O110" i="54"/>
  <c r="S110" i="54" s="1"/>
  <c r="O111" i="54"/>
  <c r="S111" i="54" s="1"/>
  <c r="O112" i="54"/>
  <c r="S112" i="54" s="1"/>
  <c r="O113" i="54"/>
  <c r="S113" i="54" s="1"/>
  <c r="O114" i="54"/>
  <c r="S114" i="54" s="1"/>
  <c r="O115" i="54"/>
  <c r="S115" i="54" s="1"/>
  <c r="O118" i="54"/>
  <c r="S118" i="54" s="1"/>
  <c r="T118" i="54" s="1"/>
  <c r="O119" i="54"/>
  <c r="S119" i="54" s="1"/>
  <c r="O120" i="54"/>
  <c r="S120" i="54" s="1"/>
  <c r="O121" i="54"/>
  <c r="S121" i="54" s="1"/>
  <c r="O122" i="54"/>
  <c r="S122" i="54" s="1"/>
  <c r="O123" i="54"/>
  <c r="S123" i="54" s="1"/>
  <c r="O124" i="54"/>
  <c r="S124" i="54" s="1"/>
  <c r="O125" i="54"/>
  <c r="S125" i="54" s="1"/>
  <c r="O126" i="54"/>
  <c r="S126" i="54" s="1"/>
  <c r="O127" i="54"/>
  <c r="S127" i="54" s="1"/>
  <c r="O128" i="54"/>
  <c r="S128" i="54" s="1"/>
  <c r="O129" i="54"/>
  <c r="S129" i="54" s="1"/>
  <c r="O132" i="54"/>
  <c r="S132" i="54" s="1"/>
  <c r="T132" i="54" s="1"/>
  <c r="O133" i="54"/>
  <c r="S133" i="54" s="1"/>
  <c r="O134" i="54"/>
  <c r="S134" i="54" s="1"/>
  <c r="O135" i="54"/>
  <c r="S135" i="54" s="1"/>
  <c r="O136" i="54"/>
  <c r="S136" i="54" s="1"/>
  <c r="O137" i="54"/>
  <c r="S137" i="54" s="1"/>
  <c r="E60" i="53"/>
  <c r="F22" i="53"/>
  <c r="E113" i="53"/>
  <c r="H113" i="53"/>
  <c r="I113" i="53" s="1"/>
  <c r="E114" i="53"/>
  <c r="H114" i="53" s="1"/>
  <c r="I114" i="53" s="1"/>
  <c r="E115" i="53"/>
  <c r="H115" i="53"/>
  <c r="I115" i="53" s="1"/>
  <c r="E116" i="53"/>
  <c r="H116" i="53" s="1"/>
  <c r="I116" i="53" s="1"/>
  <c r="E117" i="53"/>
  <c r="H117" i="53"/>
  <c r="I117" i="53" s="1"/>
  <c r="E118" i="53"/>
  <c r="H118" i="53" s="1"/>
  <c r="I118" i="53" s="1"/>
  <c r="E119" i="53"/>
  <c r="H119" i="53"/>
  <c r="I119" i="53" s="1"/>
  <c r="E120" i="53"/>
  <c r="H120" i="53" s="1"/>
  <c r="I120" i="53" s="1"/>
  <c r="E121" i="53"/>
  <c r="H121" i="53"/>
  <c r="I121" i="53" s="1"/>
  <c r="E122" i="53"/>
  <c r="H122" i="53" s="1"/>
  <c r="I122" i="53" s="1"/>
  <c r="E123" i="53"/>
  <c r="H123" i="53"/>
  <c r="I123" i="53" s="1"/>
  <c r="E124" i="53"/>
  <c r="H124" i="53" s="1"/>
  <c r="I124" i="53" s="1"/>
  <c r="E127" i="53"/>
  <c r="H127" i="53"/>
  <c r="I127" i="53" s="1"/>
  <c r="E128" i="53"/>
  <c r="H128" i="53" s="1"/>
  <c r="I128" i="53" s="1"/>
  <c r="E130" i="53"/>
  <c r="H130" i="53" s="1"/>
  <c r="I130" i="53" s="1"/>
  <c r="E131" i="53"/>
  <c r="H131" i="53" s="1"/>
  <c r="I131" i="53" s="1"/>
  <c r="E132" i="53"/>
  <c r="H132" i="53" s="1"/>
  <c r="I132" i="53" s="1"/>
  <c r="E133" i="53"/>
  <c r="H133" i="53"/>
  <c r="I133" i="53" s="1"/>
  <c r="E134" i="53"/>
  <c r="H134" i="53" s="1"/>
  <c r="I134" i="53" s="1"/>
  <c r="E135" i="53"/>
  <c r="H135" i="53"/>
  <c r="I135" i="53" s="1"/>
  <c r="E136" i="53"/>
  <c r="H136" i="53" s="1"/>
  <c r="I136" i="53" s="1"/>
  <c r="E137" i="53"/>
  <c r="H137" i="53" s="1"/>
  <c r="I137" i="53" s="1"/>
  <c r="E138" i="53"/>
  <c r="H138" i="53" s="1"/>
  <c r="I138" i="53" s="1"/>
  <c r="E141" i="53"/>
  <c r="H141" i="53"/>
  <c r="I141" i="53" s="1"/>
  <c r="E143" i="53"/>
  <c r="H143" i="53" s="1"/>
  <c r="I143" i="53" s="1"/>
  <c r="E144" i="53"/>
  <c r="H144" i="53" s="1"/>
  <c r="I144" i="53"/>
  <c r="E145" i="53"/>
  <c r="H145" i="53" s="1"/>
  <c r="I145" i="53" s="1"/>
  <c r="E146" i="53"/>
  <c r="H146" i="53" s="1"/>
  <c r="I146" i="53" s="1"/>
  <c r="O110" i="53"/>
  <c r="S110" i="53" s="1"/>
  <c r="O111" i="53"/>
  <c r="S111" i="53"/>
  <c r="T111" i="53" s="1"/>
  <c r="O112" i="53"/>
  <c r="S112" i="53" s="1"/>
  <c r="T112" i="53" s="1"/>
  <c r="O113" i="53"/>
  <c r="S113" i="53"/>
  <c r="T113" i="53" s="1"/>
  <c r="O114" i="53"/>
  <c r="S114" i="53" s="1"/>
  <c r="T114" i="53" s="1"/>
  <c r="O115" i="53"/>
  <c r="S115" i="53" s="1"/>
  <c r="T115" i="53" s="1"/>
  <c r="O118" i="53"/>
  <c r="S118" i="53" s="1"/>
  <c r="T118" i="53" s="1"/>
  <c r="O119" i="53"/>
  <c r="S119" i="53"/>
  <c r="T119" i="53" s="1"/>
  <c r="O120" i="53"/>
  <c r="S120" i="53" s="1"/>
  <c r="T120" i="53" s="1"/>
  <c r="O121" i="53"/>
  <c r="S121" i="53"/>
  <c r="O122" i="53"/>
  <c r="S122" i="53" s="1"/>
  <c r="T122" i="53" s="1"/>
  <c r="O123" i="53"/>
  <c r="S123" i="53" s="1"/>
  <c r="T123" i="53" s="1"/>
  <c r="O124" i="53"/>
  <c r="S124" i="53" s="1"/>
  <c r="T124" i="53" s="1"/>
  <c r="O125" i="53"/>
  <c r="S125" i="53"/>
  <c r="T125" i="53" s="1"/>
  <c r="O126" i="53"/>
  <c r="S126" i="53" s="1"/>
  <c r="T126" i="53" s="1"/>
  <c r="O127" i="53"/>
  <c r="S127" i="53"/>
  <c r="O128" i="53"/>
  <c r="S128" i="53" s="1"/>
  <c r="T128" i="53" s="1"/>
  <c r="O129" i="53"/>
  <c r="S129" i="53" s="1"/>
  <c r="T129" i="53" s="1"/>
  <c r="O132" i="53"/>
  <c r="S132" i="53" s="1"/>
  <c r="T132" i="53" s="1"/>
  <c r="O133" i="53"/>
  <c r="S133" i="53"/>
  <c r="O134" i="53"/>
  <c r="S134" i="53" s="1"/>
  <c r="T134" i="53" s="1"/>
  <c r="O135" i="53"/>
  <c r="S135" i="53"/>
  <c r="T135" i="53" s="1"/>
  <c r="O136" i="53"/>
  <c r="S136" i="53" s="1"/>
  <c r="T136" i="53" s="1"/>
  <c r="O137" i="53"/>
  <c r="S137" i="53" s="1"/>
  <c r="T137" i="53" s="1"/>
  <c r="G16" i="58"/>
  <c r="H16" i="58" s="1"/>
  <c r="C29" i="58"/>
  <c r="H29" i="58"/>
  <c r="L29" i="58"/>
  <c r="L69" i="58"/>
  <c r="C41" i="58"/>
  <c r="M41" i="58" s="1"/>
  <c r="K54" i="58"/>
  <c r="L54" i="58" s="1"/>
  <c r="D69" i="58" s="1"/>
  <c r="H69" i="58"/>
  <c r="O110" i="58"/>
  <c r="S110" i="58"/>
  <c r="O111" i="58"/>
  <c r="S111" i="58"/>
  <c r="O112" i="58"/>
  <c r="S112" i="58"/>
  <c r="O113" i="58"/>
  <c r="S113" i="58" s="1"/>
  <c r="O118" i="58"/>
  <c r="S118" i="58"/>
  <c r="O119" i="58"/>
  <c r="S119" i="58" s="1"/>
  <c r="O120" i="58"/>
  <c r="S120" i="58"/>
  <c r="O121" i="58"/>
  <c r="S121" i="58"/>
  <c r="O122" i="58"/>
  <c r="S122" i="58"/>
  <c r="O123" i="58"/>
  <c r="S123" i="58" s="1"/>
  <c r="O124" i="58"/>
  <c r="S124" i="58"/>
  <c r="O125" i="58"/>
  <c r="S125" i="58" s="1"/>
  <c r="T125" i="58" s="1"/>
  <c r="O126" i="58"/>
  <c r="S126" i="58"/>
  <c r="O127" i="58"/>
  <c r="S127" i="58"/>
  <c r="O132" i="58"/>
  <c r="S132" i="58"/>
  <c r="O133" i="58"/>
  <c r="S133" i="58" s="1"/>
  <c r="O134" i="58"/>
  <c r="S134" i="58"/>
  <c r="O135" i="58"/>
  <c r="S135" i="58" s="1"/>
  <c r="O114" i="58"/>
  <c r="S114" i="58"/>
  <c r="O136" i="58"/>
  <c r="S136" i="58"/>
  <c r="O128" i="58"/>
  <c r="S128" i="58" s="1"/>
  <c r="O129" i="58"/>
  <c r="S129" i="58" s="1"/>
  <c r="O115" i="58"/>
  <c r="S115" i="58"/>
  <c r="O137" i="58"/>
  <c r="S137" i="58" s="1"/>
  <c r="E161" i="51"/>
  <c r="H161" i="51" s="1"/>
  <c r="I161" i="51"/>
  <c r="E162" i="51"/>
  <c r="H162" i="51"/>
  <c r="I162" i="51" s="1"/>
  <c r="E163" i="51"/>
  <c r="H163" i="51" s="1"/>
  <c r="I163" i="51" s="1"/>
  <c r="E164" i="51"/>
  <c r="H164" i="51" s="1"/>
  <c r="I164" i="51" s="1"/>
  <c r="E165" i="51"/>
  <c r="H165" i="51" s="1"/>
  <c r="I165" i="51" s="1"/>
  <c r="E166" i="51"/>
  <c r="H166" i="51" s="1"/>
  <c r="I166" i="51" s="1"/>
  <c r="E167" i="51"/>
  <c r="H167" i="51" s="1"/>
  <c r="I167" i="51" s="1"/>
  <c r="E168" i="51"/>
  <c r="H168" i="51"/>
  <c r="I168" i="51" s="1"/>
  <c r="E169" i="51"/>
  <c r="H169" i="51" s="1"/>
  <c r="I169" i="51" s="1"/>
  <c r="E170" i="51"/>
  <c r="H170" i="51" s="1"/>
  <c r="I170" i="51" s="1"/>
  <c r="E171" i="51"/>
  <c r="H171" i="51" s="1"/>
  <c r="I171" i="51" s="1"/>
  <c r="E172" i="51"/>
  <c r="H172" i="51" s="1"/>
  <c r="I172" i="51" s="1"/>
  <c r="E173" i="51"/>
  <c r="H173" i="51" s="1"/>
  <c r="I173" i="51" s="1"/>
  <c r="E174" i="51"/>
  <c r="H174" i="51"/>
  <c r="I174" i="51" s="1"/>
  <c r="E175" i="51"/>
  <c r="H175" i="51" s="1"/>
  <c r="I175" i="51" s="1"/>
  <c r="E178" i="51"/>
  <c r="H178" i="51" s="1"/>
  <c r="I178" i="51" s="1"/>
  <c r="E179" i="51"/>
  <c r="H179" i="51" s="1"/>
  <c r="I179" i="51" s="1"/>
  <c r="E180" i="51"/>
  <c r="H180" i="51" s="1"/>
  <c r="I180" i="51" s="1"/>
  <c r="E181" i="51"/>
  <c r="H181" i="51" s="1"/>
  <c r="I181" i="51" s="1"/>
  <c r="E182" i="51"/>
  <c r="H182" i="51"/>
  <c r="I182" i="51" s="1"/>
  <c r="E183" i="51"/>
  <c r="H183" i="51" s="1"/>
  <c r="I183" i="51" s="1"/>
  <c r="E184" i="51"/>
  <c r="H184" i="51" s="1"/>
  <c r="I184" i="51" s="1"/>
  <c r="E185" i="51"/>
  <c r="H185" i="51" s="1"/>
  <c r="I185" i="51" s="1"/>
  <c r="E186" i="51"/>
  <c r="H186" i="51" s="1"/>
  <c r="I186" i="51" s="1"/>
  <c r="E187" i="51"/>
  <c r="H187" i="51" s="1"/>
  <c r="I187" i="51" s="1"/>
  <c r="E188" i="51"/>
  <c r="H188" i="51"/>
  <c r="I188" i="51" s="1"/>
  <c r="E189" i="51"/>
  <c r="H189" i="51" s="1"/>
  <c r="I189" i="51" s="1"/>
  <c r="E192" i="51"/>
  <c r="H192" i="51" s="1"/>
  <c r="I192" i="51" s="1"/>
  <c r="E193" i="51"/>
  <c r="H193" i="51" s="1"/>
  <c r="I193" i="51" s="1"/>
  <c r="E194" i="51"/>
  <c r="H194" i="51" s="1"/>
  <c r="I194" i="51" s="1"/>
  <c r="E195" i="51"/>
  <c r="H195" i="51" s="1"/>
  <c r="I195" i="51" s="1"/>
  <c r="E196" i="51"/>
  <c r="H196" i="51"/>
  <c r="I196" i="51" s="1"/>
  <c r="E197" i="51"/>
  <c r="H197" i="51" s="1"/>
  <c r="I197" i="51" s="1"/>
  <c r="O161" i="51"/>
  <c r="S161" i="51" s="1"/>
  <c r="T161" i="51" s="1"/>
  <c r="O162" i="51"/>
  <c r="S162" i="51" s="1"/>
  <c r="O163" i="51"/>
  <c r="S163" i="51" s="1"/>
  <c r="O164" i="51"/>
  <c r="S164" i="51" s="1"/>
  <c r="O165" i="51"/>
  <c r="S165" i="51"/>
  <c r="O166" i="51"/>
  <c r="S166" i="51" s="1"/>
  <c r="O169" i="51"/>
  <c r="S169" i="51" s="1"/>
  <c r="O170" i="51"/>
  <c r="S170" i="51" s="1"/>
  <c r="O171" i="51"/>
  <c r="S171" i="51" s="1"/>
  <c r="O172" i="51"/>
  <c r="S172" i="51" s="1"/>
  <c r="O173" i="51"/>
  <c r="S173" i="51"/>
  <c r="O174" i="51"/>
  <c r="S174" i="51" s="1"/>
  <c r="O175" i="51"/>
  <c r="S175" i="51" s="1"/>
  <c r="O176" i="51"/>
  <c r="S176" i="51" s="1"/>
  <c r="O177" i="51"/>
  <c r="S177" i="51" s="1"/>
  <c r="O178" i="51"/>
  <c r="S178" i="51" s="1"/>
  <c r="O179" i="51"/>
  <c r="S179" i="51"/>
  <c r="O180" i="51"/>
  <c r="S180" i="51" s="1"/>
  <c r="O183" i="51"/>
  <c r="S183" i="51" s="1"/>
  <c r="O184" i="51"/>
  <c r="S184" i="51" s="1"/>
  <c r="O185" i="51"/>
  <c r="S185" i="51" s="1"/>
  <c r="O186" i="51"/>
  <c r="S186" i="51" s="1"/>
  <c r="T186" i="51" s="1"/>
  <c r="O187" i="51"/>
  <c r="S187" i="51"/>
  <c r="O188" i="51"/>
  <c r="S188" i="51" s="1"/>
  <c r="E110" i="58"/>
  <c r="H110" i="58" s="1"/>
  <c r="I110" i="58" s="1"/>
  <c r="E111" i="58"/>
  <c r="H111" i="58" s="1"/>
  <c r="I111" i="58" s="1"/>
  <c r="E112" i="58"/>
  <c r="H112" i="58" s="1"/>
  <c r="I112" i="58" s="1"/>
  <c r="E113" i="58"/>
  <c r="H113" i="58" s="1"/>
  <c r="I113" i="58" s="1"/>
  <c r="E114" i="58"/>
  <c r="H114" i="58" s="1"/>
  <c r="I114" i="58"/>
  <c r="E115" i="58"/>
  <c r="H115" i="58" s="1"/>
  <c r="I115" i="58" s="1"/>
  <c r="E116" i="58"/>
  <c r="H116" i="58" s="1"/>
  <c r="I116" i="58" s="1"/>
  <c r="E117" i="58"/>
  <c r="H117" i="58" s="1"/>
  <c r="I117" i="58" s="1"/>
  <c r="E118" i="58"/>
  <c r="H118" i="58" s="1"/>
  <c r="I118" i="58" s="1"/>
  <c r="E119" i="58"/>
  <c r="H119" i="58" s="1"/>
  <c r="I119" i="58" s="1"/>
  <c r="E120" i="58"/>
  <c r="H120" i="58" s="1"/>
  <c r="I120" i="58"/>
  <c r="E121" i="58"/>
  <c r="H121" i="58" s="1"/>
  <c r="I121" i="58" s="1"/>
  <c r="E122" i="58"/>
  <c r="H122" i="58" s="1"/>
  <c r="I122" i="58" s="1"/>
  <c r="E123" i="58"/>
  <c r="H123" i="58" s="1"/>
  <c r="I123" i="58" s="1"/>
  <c r="E124" i="58"/>
  <c r="H124" i="58" s="1"/>
  <c r="I124" i="58" s="1"/>
  <c r="E127" i="58"/>
  <c r="H127" i="58" s="1"/>
  <c r="I127" i="58" s="1"/>
  <c r="E128" i="58"/>
  <c r="H128" i="58" s="1"/>
  <c r="I128" i="58"/>
  <c r="E129" i="58"/>
  <c r="H129" i="58" s="1"/>
  <c r="I129" i="58" s="1"/>
  <c r="E130" i="58"/>
  <c r="H130" i="58" s="1"/>
  <c r="I130" i="58" s="1"/>
  <c r="E131" i="58"/>
  <c r="H131" i="58" s="1"/>
  <c r="I131" i="58" s="1"/>
  <c r="E132" i="58"/>
  <c r="H132" i="58" s="1"/>
  <c r="I132" i="58" s="1"/>
  <c r="E133" i="58"/>
  <c r="H133" i="58" s="1"/>
  <c r="I133" i="58" s="1"/>
  <c r="E134" i="58"/>
  <c r="H134" i="58" s="1"/>
  <c r="I134" i="58"/>
  <c r="E135" i="58"/>
  <c r="H135" i="58" s="1"/>
  <c r="I135" i="58" s="1"/>
  <c r="E136" i="58"/>
  <c r="H136" i="58" s="1"/>
  <c r="I136" i="58" s="1"/>
  <c r="E137" i="58"/>
  <c r="H137" i="58" s="1"/>
  <c r="I137" i="58" s="1"/>
  <c r="E138" i="58"/>
  <c r="H138" i="58" s="1"/>
  <c r="I138" i="58" s="1"/>
  <c r="E141" i="58"/>
  <c r="H141" i="58" s="1"/>
  <c r="I141" i="58" s="1"/>
  <c r="E142" i="58"/>
  <c r="H142" i="58" s="1"/>
  <c r="I142" i="58"/>
  <c r="E143" i="58"/>
  <c r="H143" i="58" s="1"/>
  <c r="I143" i="58" s="1"/>
  <c r="E144" i="58"/>
  <c r="H144" i="58" s="1"/>
  <c r="I144" i="58" s="1"/>
  <c r="E145" i="58"/>
  <c r="H145" i="58" s="1"/>
  <c r="I145" i="58" s="1"/>
  <c r="E146" i="58"/>
  <c r="H146" i="58" s="1"/>
  <c r="I146" i="58" s="1"/>
  <c r="E110" i="52"/>
  <c r="H110" i="52" s="1"/>
  <c r="I110" i="52" s="1"/>
  <c r="E111" i="52"/>
  <c r="H111" i="52" s="1"/>
  <c r="I111" i="52"/>
  <c r="E112" i="52"/>
  <c r="H112" i="52" s="1"/>
  <c r="I112" i="52" s="1"/>
  <c r="E113" i="52"/>
  <c r="H113" i="52" s="1"/>
  <c r="I113" i="52" s="1"/>
  <c r="E114" i="52"/>
  <c r="H114" i="52" s="1"/>
  <c r="I114" i="52" s="1"/>
  <c r="E115" i="52"/>
  <c r="H115" i="52" s="1"/>
  <c r="I115" i="52" s="1"/>
  <c r="E116" i="52"/>
  <c r="H116" i="52" s="1"/>
  <c r="I116" i="52" s="1"/>
  <c r="E117" i="52"/>
  <c r="H117" i="52" s="1"/>
  <c r="I117" i="52"/>
  <c r="E118" i="52"/>
  <c r="H118" i="52" s="1"/>
  <c r="I118" i="52" s="1"/>
  <c r="E119" i="52"/>
  <c r="H119" i="52" s="1"/>
  <c r="I119" i="52" s="1"/>
  <c r="E120" i="52"/>
  <c r="H120" i="52" s="1"/>
  <c r="I120" i="52" s="1"/>
  <c r="E121" i="52"/>
  <c r="H121" i="52" s="1"/>
  <c r="I121" i="52" s="1"/>
  <c r="E122" i="52"/>
  <c r="H122" i="52" s="1"/>
  <c r="I122" i="52" s="1"/>
  <c r="E123" i="52"/>
  <c r="H123" i="52" s="1"/>
  <c r="I123" i="52"/>
  <c r="E124" i="52"/>
  <c r="H124" i="52" s="1"/>
  <c r="I124" i="52" s="1"/>
  <c r="E127" i="52"/>
  <c r="H127" i="52" s="1"/>
  <c r="I127" i="52" s="1"/>
  <c r="E128" i="52"/>
  <c r="H128" i="52" s="1"/>
  <c r="I128" i="52" s="1"/>
  <c r="E129" i="52"/>
  <c r="H129" i="52" s="1"/>
  <c r="I129" i="52" s="1"/>
  <c r="E130" i="52"/>
  <c r="H130" i="52" s="1"/>
  <c r="I130" i="52" s="1"/>
  <c r="E131" i="52"/>
  <c r="H131" i="52" s="1"/>
  <c r="I131" i="52"/>
  <c r="E132" i="52"/>
  <c r="H132" i="52" s="1"/>
  <c r="I132" i="52" s="1"/>
  <c r="E133" i="52"/>
  <c r="H133" i="52" s="1"/>
  <c r="I133" i="52" s="1"/>
  <c r="E134" i="52"/>
  <c r="H134" i="52" s="1"/>
  <c r="I134" i="52" s="1"/>
  <c r="E135" i="52"/>
  <c r="H135" i="52" s="1"/>
  <c r="I135" i="52" s="1"/>
  <c r="E136" i="52"/>
  <c r="H136" i="52" s="1"/>
  <c r="I136" i="52" s="1"/>
  <c r="E137" i="52"/>
  <c r="H137" i="52" s="1"/>
  <c r="I137" i="52"/>
  <c r="E138" i="52"/>
  <c r="H138" i="52" s="1"/>
  <c r="I138" i="52" s="1"/>
  <c r="E141" i="52"/>
  <c r="H141" i="52" s="1"/>
  <c r="I141" i="52" s="1"/>
  <c r="E142" i="52"/>
  <c r="H142" i="52" s="1"/>
  <c r="I142" i="52" s="1"/>
  <c r="E143" i="52"/>
  <c r="H143" i="52" s="1"/>
  <c r="I143" i="52" s="1"/>
  <c r="E144" i="52"/>
  <c r="H144" i="52" s="1"/>
  <c r="I144" i="52" s="1"/>
  <c r="E145" i="52"/>
  <c r="H145" i="52" s="1"/>
  <c r="I145" i="52"/>
  <c r="E146" i="52"/>
  <c r="H146" i="52" s="1"/>
  <c r="I146" i="52" s="1"/>
  <c r="O111" i="52"/>
  <c r="S111" i="52" s="1"/>
  <c r="O112" i="52"/>
  <c r="S112" i="52" s="1"/>
  <c r="O115" i="52"/>
  <c r="S115" i="52" s="1"/>
  <c r="T115" i="52" s="1"/>
  <c r="O119" i="52"/>
  <c r="S119" i="52" s="1"/>
  <c r="O120" i="52"/>
  <c r="S120" i="52" s="1"/>
  <c r="O121" i="52"/>
  <c r="S121" i="52" s="1"/>
  <c r="O122" i="52"/>
  <c r="S122" i="52" s="1"/>
  <c r="O124" i="52"/>
  <c r="S124" i="52" s="1"/>
  <c r="O125" i="52"/>
  <c r="S125" i="52" s="1"/>
  <c r="O126" i="52"/>
  <c r="S126" i="52" s="1"/>
  <c r="O127" i="52"/>
  <c r="S127" i="52" s="1"/>
  <c r="O128" i="52"/>
  <c r="S128" i="52" s="1"/>
  <c r="O129" i="52"/>
  <c r="S129" i="52" s="1"/>
  <c r="O132" i="52"/>
  <c r="S132" i="52" s="1"/>
  <c r="O133" i="52"/>
  <c r="S133" i="52" s="1"/>
  <c r="O135" i="52"/>
  <c r="S135" i="52"/>
  <c r="T135" i="52" s="1"/>
  <c r="O136" i="52"/>
  <c r="S136" i="52"/>
  <c r="O137" i="52"/>
  <c r="S137" i="52"/>
  <c r="T137" i="52" s="1"/>
  <c r="E60" i="50"/>
  <c r="F22" i="50"/>
  <c r="E110" i="50"/>
  <c r="H110" i="50"/>
  <c r="E111" i="50"/>
  <c r="H111" i="50" s="1"/>
  <c r="I111" i="50" s="1"/>
  <c r="E112" i="50"/>
  <c r="H112" i="50"/>
  <c r="I112" i="50" s="1"/>
  <c r="E113" i="50"/>
  <c r="H113" i="50" s="1"/>
  <c r="I113" i="50"/>
  <c r="E114" i="50"/>
  <c r="H114" i="50"/>
  <c r="I114" i="50" s="1"/>
  <c r="E115" i="50"/>
  <c r="H115" i="50" s="1"/>
  <c r="I115" i="50" s="1"/>
  <c r="E116" i="50"/>
  <c r="H116" i="50"/>
  <c r="I116" i="50" s="1"/>
  <c r="E117" i="50"/>
  <c r="H117" i="50" s="1"/>
  <c r="I117" i="50" s="1"/>
  <c r="E118" i="50"/>
  <c r="H118" i="50"/>
  <c r="I118" i="50" s="1"/>
  <c r="E119" i="50"/>
  <c r="H119" i="50" s="1"/>
  <c r="I119" i="50"/>
  <c r="E120" i="50"/>
  <c r="H120" i="50"/>
  <c r="I120" i="50" s="1"/>
  <c r="E121" i="50"/>
  <c r="H121" i="50" s="1"/>
  <c r="I121" i="50" s="1"/>
  <c r="E122" i="50"/>
  <c r="H122" i="50"/>
  <c r="I122" i="50" s="1"/>
  <c r="E123" i="50"/>
  <c r="H123" i="50" s="1"/>
  <c r="I123" i="50" s="1"/>
  <c r="E124" i="50"/>
  <c r="H124" i="50"/>
  <c r="I124" i="50" s="1"/>
  <c r="E127" i="50"/>
  <c r="H127" i="50" s="1"/>
  <c r="I127" i="50" s="1"/>
  <c r="E128" i="50"/>
  <c r="H128" i="50"/>
  <c r="I128" i="50" s="1"/>
  <c r="E129" i="50"/>
  <c r="H129" i="50" s="1"/>
  <c r="I129" i="50" s="1"/>
  <c r="E130" i="50"/>
  <c r="H130" i="50"/>
  <c r="I130" i="50" s="1"/>
  <c r="E131" i="50"/>
  <c r="H131" i="50" s="1"/>
  <c r="I131" i="50" s="1"/>
  <c r="E132" i="50"/>
  <c r="H132" i="50"/>
  <c r="I132" i="50" s="1"/>
  <c r="E133" i="50"/>
  <c r="H133" i="50" s="1"/>
  <c r="I133" i="50" s="1"/>
  <c r="E134" i="50"/>
  <c r="H134" i="50"/>
  <c r="I134" i="50" s="1"/>
  <c r="E135" i="50"/>
  <c r="H135" i="50" s="1"/>
  <c r="I135" i="50" s="1"/>
  <c r="E136" i="50"/>
  <c r="H136" i="50"/>
  <c r="I136" i="50" s="1"/>
  <c r="E137" i="50"/>
  <c r="H137" i="50" s="1"/>
  <c r="I137" i="50" s="1"/>
  <c r="E138" i="50"/>
  <c r="H138" i="50"/>
  <c r="I138" i="50" s="1"/>
  <c r="E141" i="50"/>
  <c r="H141" i="50" s="1"/>
  <c r="I141" i="50" s="1"/>
  <c r="E142" i="50"/>
  <c r="H142" i="50"/>
  <c r="I142" i="50" s="1"/>
  <c r="E143" i="50"/>
  <c r="H143" i="50" s="1"/>
  <c r="I143" i="50" s="1"/>
  <c r="E144" i="50"/>
  <c r="H144" i="50"/>
  <c r="I144" i="50" s="1"/>
  <c r="E145" i="50"/>
  <c r="H145" i="50" s="1"/>
  <c r="I145" i="50" s="1"/>
  <c r="E146" i="50"/>
  <c r="H146" i="50"/>
  <c r="I146" i="50" s="1"/>
  <c r="O112" i="50"/>
  <c r="S112" i="50" s="1"/>
  <c r="O113" i="50"/>
  <c r="S113" i="50" s="1"/>
  <c r="O114" i="50"/>
  <c r="S114" i="50" s="1"/>
  <c r="O115" i="50"/>
  <c r="S115" i="50" s="1"/>
  <c r="O119" i="50"/>
  <c r="S119" i="50" s="1"/>
  <c r="O120" i="50"/>
  <c r="S120" i="50"/>
  <c r="T120" i="50" s="1"/>
  <c r="O121" i="50"/>
  <c r="S121" i="50" s="1"/>
  <c r="O122" i="50"/>
  <c r="S122" i="50"/>
  <c r="T122" i="50" s="1"/>
  <c r="O123" i="50"/>
  <c r="S123" i="50" s="1"/>
  <c r="O124" i="50"/>
  <c r="S124" i="50"/>
  <c r="T124" i="50" s="1"/>
  <c r="O126" i="50"/>
  <c r="S126" i="50" s="1"/>
  <c r="O127" i="50"/>
  <c r="S127" i="50"/>
  <c r="O128" i="50"/>
  <c r="S128" i="50" s="1"/>
  <c r="O129" i="50"/>
  <c r="S129" i="50"/>
  <c r="O133" i="50"/>
  <c r="S133" i="50" s="1"/>
  <c r="O135" i="50"/>
  <c r="S135" i="50"/>
  <c r="O136" i="50"/>
  <c r="S136" i="50" s="1"/>
  <c r="T136" i="50" s="1"/>
  <c r="O137" i="50"/>
  <c r="S137" i="50"/>
  <c r="C5" i="59"/>
  <c r="C5" i="16"/>
  <c r="C5" i="56"/>
  <c r="C5" i="58"/>
  <c r="C5" i="55"/>
  <c r="C5" i="54"/>
  <c r="C5" i="53"/>
  <c r="C5" i="52"/>
  <c r="C5" i="50"/>
  <c r="C54" i="55"/>
  <c r="D54" i="55" s="1"/>
  <c r="G54" i="55" s="1"/>
  <c r="F94" i="55"/>
  <c r="G94" i="55" s="1"/>
  <c r="E94" i="55"/>
  <c r="D55" i="55"/>
  <c r="D95" i="55"/>
  <c r="F95" i="55"/>
  <c r="E95" i="55"/>
  <c r="G95" i="55" s="1"/>
  <c r="C42" i="55"/>
  <c r="D56" i="55"/>
  <c r="D96" i="55"/>
  <c r="F96" i="55"/>
  <c r="E96" i="55"/>
  <c r="C43" i="55"/>
  <c r="I47" i="55" s="1"/>
  <c r="D57" i="55"/>
  <c r="D97" i="55" s="1"/>
  <c r="F97" i="55"/>
  <c r="E97" i="55"/>
  <c r="G97" i="55" s="1"/>
  <c r="C44" i="55"/>
  <c r="D58" i="55"/>
  <c r="D98" i="55" s="1"/>
  <c r="F98" i="55"/>
  <c r="E98" i="55"/>
  <c r="G98" i="55" s="1"/>
  <c r="C45" i="55"/>
  <c r="D59" i="55"/>
  <c r="D99" i="55"/>
  <c r="F99" i="55"/>
  <c r="E99" i="55"/>
  <c r="C46" i="55"/>
  <c r="D179" i="55"/>
  <c r="K54" i="55"/>
  <c r="L54" i="55" s="1"/>
  <c r="K55" i="55"/>
  <c r="L55" i="55" s="1"/>
  <c r="D70" i="55" s="1"/>
  <c r="K56" i="55"/>
  <c r="L56" i="55" s="1"/>
  <c r="K57" i="55"/>
  <c r="L57" i="55" s="1"/>
  <c r="D72" i="55" s="1"/>
  <c r="K58" i="55"/>
  <c r="L58" i="55" s="1"/>
  <c r="D73" i="55" s="1"/>
  <c r="K59" i="55"/>
  <c r="L59" i="55" s="1"/>
  <c r="D74" i="55" s="1"/>
  <c r="G16" i="55"/>
  <c r="H16" i="55" s="1"/>
  <c r="G17" i="55"/>
  <c r="H17" i="55" s="1"/>
  <c r="G18" i="55"/>
  <c r="H18" i="55" s="1"/>
  <c r="G19" i="55"/>
  <c r="H19" i="55" s="1"/>
  <c r="G20" i="55"/>
  <c r="G21" i="55"/>
  <c r="H21" i="55"/>
  <c r="C30" i="55"/>
  <c r="H30" i="55" s="1"/>
  <c r="C31" i="55"/>
  <c r="L31" i="55" s="1"/>
  <c r="C32" i="55"/>
  <c r="L32" i="55" s="1"/>
  <c r="C33" i="55"/>
  <c r="C34" i="55"/>
  <c r="J35" i="55"/>
  <c r="L30" i="55"/>
  <c r="L70" i="55"/>
  <c r="L71" i="55"/>
  <c r="L72" i="55"/>
  <c r="L73" i="55"/>
  <c r="L74" i="55"/>
  <c r="M44" i="55"/>
  <c r="D71" i="55"/>
  <c r="H70" i="55"/>
  <c r="H71" i="55"/>
  <c r="H72" i="55"/>
  <c r="H73" i="55"/>
  <c r="H74" i="55"/>
  <c r="AA110" i="55"/>
  <c r="Y110" i="55"/>
  <c r="AC110" i="55"/>
  <c r="AD110" i="55"/>
  <c r="AA111" i="55"/>
  <c r="Y111" i="55"/>
  <c r="AC111" i="55"/>
  <c r="AD111" i="55"/>
  <c r="AA112" i="55"/>
  <c r="Y112" i="55"/>
  <c r="AC112" i="55"/>
  <c r="AD112" i="55"/>
  <c r="AA113" i="55"/>
  <c r="Y113" i="55"/>
  <c r="AC113" i="55"/>
  <c r="AD113" i="55"/>
  <c r="AA114" i="55"/>
  <c r="Y114" i="55"/>
  <c r="AB114" i="55"/>
  <c r="AC114" i="55"/>
  <c r="AD114" i="55"/>
  <c r="AA115" i="55"/>
  <c r="Y115" i="55"/>
  <c r="AB115" i="55" s="1"/>
  <c r="AC115" i="55"/>
  <c r="AD115" i="55"/>
  <c r="AE115" i="55"/>
  <c r="AF115" i="55" s="1"/>
  <c r="AA116" i="55"/>
  <c r="Y116" i="55"/>
  <c r="AB116" i="55" s="1"/>
  <c r="AC116" i="55"/>
  <c r="AD116" i="55"/>
  <c r="AA117" i="55"/>
  <c r="Y117" i="55"/>
  <c r="AB117" i="55" s="1"/>
  <c r="AC117" i="55"/>
  <c r="AD117" i="55"/>
  <c r="AA118" i="55"/>
  <c r="Y118" i="55"/>
  <c r="AB118" i="55"/>
  <c r="AC118" i="55"/>
  <c r="AD118" i="55"/>
  <c r="AA119" i="55"/>
  <c r="Y119" i="55"/>
  <c r="AB119" i="55" s="1"/>
  <c r="AC119" i="55"/>
  <c r="AD119" i="55"/>
  <c r="AA120" i="55"/>
  <c r="Y120" i="55"/>
  <c r="AB120" i="55" s="1"/>
  <c r="AC120" i="55"/>
  <c r="AD120" i="55"/>
  <c r="AA121" i="55"/>
  <c r="Y121" i="55"/>
  <c r="AC121" i="55"/>
  <c r="AD121" i="55"/>
  <c r="AA122" i="55"/>
  <c r="Y122" i="55"/>
  <c r="AB122" i="55"/>
  <c r="AC122" i="55"/>
  <c r="AD122" i="55"/>
  <c r="AA123" i="55"/>
  <c r="Y123" i="55"/>
  <c r="AB123" i="55" s="1"/>
  <c r="AC123" i="55"/>
  <c r="AE123" i="55" s="1"/>
  <c r="AF123" i="55" s="1"/>
  <c r="AD123" i="55"/>
  <c r="AA124" i="55"/>
  <c r="Y124" i="55"/>
  <c r="AB124" i="55"/>
  <c r="AC124" i="55"/>
  <c r="AD124" i="55"/>
  <c r="AA127" i="55"/>
  <c r="Y127" i="55"/>
  <c r="AC127" i="55"/>
  <c r="AD127" i="55"/>
  <c r="AA128" i="55"/>
  <c r="Y128" i="55"/>
  <c r="AC128" i="55"/>
  <c r="AD128" i="55"/>
  <c r="AA129" i="55"/>
  <c r="Y129" i="55"/>
  <c r="AB129" i="55" s="1"/>
  <c r="AC129" i="55"/>
  <c r="AD129" i="55"/>
  <c r="AA130" i="55"/>
  <c r="AC130" i="55"/>
  <c r="AD130" i="55"/>
  <c r="AA131" i="55"/>
  <c r="Y131" i="55"/>
  <c r="AB131" i="55"/>
  <c r="AC131" i="55"/>
  <c r="AD131" i="55"/>
  <c r="AA132" i="55"/>
  <c r="Y132" i="55"/>
  <c r="AC132" i="55"/>
  <c r="AD132" i="55"/>
  <c r="AA133" i="55"/>
  <c r="Y133" i="55"/>
  <c r="AB133" i="55" s="1"/>
  <c r="AC133" i="55"/>
  <c r="AD133" i="55"/>
  <c r="AA134" i="55"/>
  <c r="Y134" i="55"/>
  <c r="AB134" i="55" s="1"/>
  <c r="AC134" i="55"/>
  <c r="AD134" i="55"/>
  <c r="AA135" i="55"/>
  <c r="Y135" i="55"/>
  <c r="AB135" i="55"/>
  <c r="AC135" i="55"/>
  <c r="AD135" i="55"/>
  <c r="AA136" i="55"/>
  <c r="Y136" i="55"/>
  <c r="AC136" i="55"/>
  <c r="AD136" i="55"/>
  <c r="AA137" i="55"/>
  <c r="Y137" i="55"/>
  <c r="AB137" i="55"/>
  <c r="AC137" i="55"/>
  <c r="AD137" i="55"/>
  <c r="AA138" i="55"/>
  <c r="Y138" i="55"/>
  <c r="AB138" i="55" s="1"/>
  <c r="AC138" i="55"/>
  <c r="AD138" i="55"/>
  <c r="AA141" i="55"/>
  <c r="Y141" i="55"/>
  <c r="AB141" i="55"/>
  <c r="AC141" i="55"/>
  <c r="AD141" i="55"/>
  <c r="AA142" i="55"/>
  <c r="Y142" i="55"/>
  <c r="AC142" i="55"/>
  <c r="AD142" i="55"/>
  <c r="AA143" i="55"/>
  <c r="Y143" i="55"/>
  <c r="AB143" i="55" s="1"/>
  <c r="AC143" i="55"/>
  <c r="AD143" i="55"/>
  <c r="AA144" i="55"/>
  <c r="Y144" i="55"/>
  <c r="AB144" i="55" s="1"/>
  <c r="AC144" i="55"/>
  <c r="AD144" i="55"/>
  <c r="AA145" i="55"/>
  <c r="Y145" i="55"/>
  <c r="AB145" i="55"/>
  <c r="AC145" i="55"/>
  <c r="AD145" i="55"/>
  <c r="AA146" i="55"/>
  <c r="Y146" i="55"/>
  <c r="AC146" i="55"/>
  <c r="AD146" i="55"/>
  <c r="AA147" i="55"/>
  <c r="AO142" i="55"/>
  <c r="AN143" i="55"/>
  <c r="AP141" i="55"/>
  <c r="AK110" i="55"/>
  <c r="AI110" i="55"/>
  <c r="AL110" i="55" s="1"/>
  <c r="AM110" i="55"/>
  <c r="AO110" i="55"/>
  <c r="AK111" i="55"/>
  <c r="AI111" i="55"/>
  <c r="AL111" i="55"/>
  <c r="AM111" i="55"/>
  <c r="AO111" i="55"/>
  <c r="AK112" i="55"/>
  <c r="AI112" i="55"/>
  <c r="AL112" i="55"/>
  <c r="AM112" i="55"/>
  <c r="AO112" i="55"/>
  <c r="AK113" i="55"/>
  <c r="AI113" i="55"/>
  <c r="AL113" i="55"/>
  <c r="AM113" i="55"/>
  <c r="AO113" i="55"/>
  <c r="AK114" i="55"/>
  <c r="AI114" i="55"/>
  <c r="AL114" i="55"/>
  <c r="AM114" i="55"/>
  <c r="AO114" i="55"/>
  <c r="AK115" i="55"/>
  <c r="AI115" i="55"/>
  <c r="AL115" i="55" s="1"/>
  <c r="AM115" i="55"/>
  <c r="AO115" i="55"/>
  <c r="AK118" i="55"/>
  <c r="AI118" i="55"/>
  <c r="AL118" i="55" s="1"/>
  <c r="AM118" i="55"/>
  <c r="AO118" i="55"/>
  <c r="AK119" i="55"/>
  <c r="AI119" i="55"/>
  <c r="AL119" i="55"/>
  <c r="AM119" i="55"/>
  <c r="AO119" i="55"/>
  <c r="AK120" i="55"/>
  <c r="AI120" i="55"/>
  <c r="AL120" i="55" s="1"/>
  <c r="AM120" i="55"/>
  <c r="AO120" i="55"/>
  <c r="AK121" i="55"/>
  <c r="AI121" i="55"/>
  <c r="AL121" i="55" s="1"/>
  <c r="AM121" i="55"/>
  <c r="AO121" i="55"/>
  <c r="AK122" i="55"/>
  <c r="AI122" i="55"/>
  <c r="AL122" i="55" s="1"/>
  <c r="AM122" i="55"/>
  <c r="AO122" i="55"/>
  <c r="AK123" i="55"/>
  <c r="AI123" i="55"/>
  <c r="AL123" i="55"/>
  <c r="AM123" i="55"/>
  <c r="AO123" i="55"/>
  <c r="AK124" i="55"/>
  <c r="AI124" i="55"/>
  <c r="AL124" i="55" s="1"/>
  <c r="AM124" i="55"/>
  <c r="AO124" i="55"/>
  <c r="AK125" i="55"/>
  <c r="AI125" i="55"/>
  <c r="AL125" i="55"/>
  <c r="AM125" i="55"/>
  <c r="AO125" i="55"/>
  <c r="AK126" i="55"/>
  <c r="AI126" i="55"/>
  <c r="AL126" i="55"/>
  <c r="AM126" i="55"/>
  <c r="AO126" i="55"/>
  <c r="AK127" i="55"/>
  <c r="AI127" i="55"/>
  <c r="AL127" i="55"/>
  <c r="AM127" i="55"/>
  <c r="AO127" i="55"/>
  <c r="AK128" i="55"/>
  <c r="AI128" i="55"/>
  <c r="AL128" i="55"/>
  <c r="AM128" i="55"/>
  <c r="AO128" i="55"/>
  <c r="AK129" i="55"/>
  <c r="AI129" i="55"/>
  <c r="AL129" i="55" s="1"/>
  <c r="AM129" i="55"/>
  <c r="AO129" i="55"/>
  <c r="AK132" i="55"/>
  <c r="AI132" i="55"/>
  <c r="AM132" i="55"/>
  <c r="AO132" i="55"/>
  <c r="AK133" i="55"/>
  <c r="AI133" i="55"/>
  <c r="AL133" i="55"/>
  <c r="AM133" i="55"/>
  <c r="AO133" i="55"/>
  <c r="AK134" i="55"/>
  <c r="AI134" i="55"/>
  <c r="AM134" i="55"/>
  <c r="AO134" i="55"/>
  <c r="AK135" i="55"/>
  <c r="AI135" i="55"/>
  <c r="AM135" i="55"/>
  <c r="AO135" i="55"/>
  <c r="AK136" i="55"/>
  <c r="AI136" i="55"/>
  <c r="AL136" i="55" s="1"/>
  <c r="AM136" i="55"/>
  <c r="AO136" i="55"/>
  <c r="AK137" i="55"/>
  <c r="AI137" i="55"/>
  <c r="AL137" i="55"/>
  <c r="AM137" i="55"/>
  <c r="AO137" i="55"/>
  <c r="AC147" i="55"/>
  <c r="AD147" i="55"/>
  <c r="E82" i="55"/>
  <c r="D83" i="55"/>
  <c r="E84" i="55"/>
  <c r="D84" i="55"/>
  <c r="E85" i="55"/>
  <c r="D85" i="55"/>
  <c r="D86" i="55"/>
  <c r="E87" i="55"/>
  <c r="D87" i="55"/>
  <c r="C146" i="55"/>
  <c r="Z145" i="55"/>
  <c r="C145" i="55"/>
  <c r="Z144" i="55"/>
  <c r="C144" i="55"/>
  <c r="Z143" i="55"/>
  <c r="C143" i="55"/>
  <c r="AQ141" i="55"/>
  <c r="D351" i="3"/>
  <c r="T141" i="55"/>
  <c r="Z141" i="55"/>
  <c r="C141" i="55"/>
  <c r="Z138" i="55"/>
  <c r="C138" i="55"/>
  <c r="AJ137" i="55"/>
  <c r="Z137" i="55"/>
  <c r="M137" i="55"/>
  <c r="C137" i="55"/>
  <c r="AJ136" i="55"/>
  <c r="M136" i="55"/>
  <c r="C136" i="55"/>
  <c r="Z135" i="55"/>
  <c r="M135" i="55"/>
  <c r="C135" i="55"/>
  <c r="Z134" i="55"/>
  <c r="T134" i="55"/>
  <c r="M134" i="55"/>
  <c r="C134" i="55"/>
  <c r="AJ133" i="55"/>
  <c r="Z133" i="55"/>
  <c r="M133" i="55"/>
  <c r="C133" i="55"/>
  <c r="M132" i="55"/>
  <c r="C132" i="55"/>
  <c r="Z131" i="55"/>
  <c r="C131" i="55"/>
  <c r="D352" i="3"/>
  <c r="AJ129" i="55"/>
  <c r="M129" i="55"/>
  <c r="C129" i="55"/>
  <c r="AJ128" i="55"/>
  <c r="M128" i="55"/>
  <c r="AJ127" i="55"/>
  <c r="M127" i="55"/>
  <c r="C127" i="55"/>
  <c r="AJ126" i="55"/>
  <c r="M126" i="55"/>
  <c r="AJ125" i="55"/>
  <c r="M125" i="55"/>
  <c r="AJ124" i="55"/>
  <c r="Z124" i="55"/>
  <c r="M124" i="55"/>
  <c r="C124" i="55"/>
  <c r="AJ123" i="55"/>
  <c r="Z123" i="55"/>
  <c r="M123" i="55"/>
  <c r="C123" i="55"/>
  <c r="AJ122" i="55"/>
  <c r="Z122" i="55"/>
  <c r="M122" i="55"/>
  <c r="C122" i="55"/>
  <c r="M121" i="55"/>
  <c r="C121" i="55"/>
  <c r="AJ120" i="55"/>
  <c r="Z120" i="55"/>
  <c r="M120" i="55"/>
  <c r="C120" i="55"/>
  <c r="AJ119" i="55"/>
  <c r="Z119" i="55"/>
  <c r="M119" i="55"/>
  <c r="C119" i="55"/>
  <c r="AJ118" i="55"/>
  <c r="Z118" i="55"/>
  <c r="M118" i="55"/>
  <c r="C118" i="55"/>
  <c r="Z117" i="55"/>
  <c r="C117" i="55"/>
  <c r="Z116" i="55"/>
  <c r="C116" i="55"/>
  <c r="AJ115" i="55"/>
  <c r="M115" i="55"/>
  <c r="C115" i="55"/>
  <c r="AJ114" i="55"/>
  <c r="Z114" i="55"/>
  <c r="M114" i="55"/>
  <c r="C114" i="55"/>
  <c r="AJ113" i="55"/>
  <c r="M113" i="55"/>
  <c r="C113" i="55"/>
  <c r="AJ112" i="55"/>
  <c r="M112" i="55"/>
  <c r="AJ111" i="55"/>
  <c r="D353" i="3"/>
  <c r="C111" i="55" s="1"/>
  <c r="D368" i="3"/>
  <c r="M111" i="55"/>
  <c r="AJ110" i="55"/>
  <c r="D354" i="3"/>
  <c r="M110" i="55"/>
  <c r="M74" i="55"/>
  <c r="B74" i="55"/>
  <c r="M73" i="55"/>
  <c r="B73" i="55"/>
  <c r="M72" i="55"/>
  <c r="B72" i="55"/>
  <c r="M71" i="55"/>
  <c r="B71" i="55"/>
  <c r="M70" i="55"/>
  <c r="B70" i="55"/>
  <c r="M69" i="55"/>
  <c r="B69" i="55"/>
  <c r="M54" i="55"/>
  <c r="M55" i="55"/>
  <c r="O55" i="55"/>
  <c r="M56" i="55"/>
  <c r="O56" i="55" s="1"/>
  <c r="M57" i="55"/>
  <c r="O57" i="55" s="1"/>
  <c r="M58" i="55"/>
  <c r="O58" i="55"/>
  <c r="M59" i="55"/>
  <c r="O59" i="55" s="1"/>
  <c r="M61" i="55"/>
  <c r="I59" i="55"/>
  <c r="F59" i="55"/>
  <c r="G59" i="55" s="1"/>
  <c r="I58" i="55"/>
  <c r="F58" i="55"/>
  <c r="G58" i="55"/>
  <c r="I57" i="55"/>
  <c r="F57" i="55"/>
  <c r="G57" i="55" s="1"/>
  <c r="I56" i="55"/>
  <c r="F56" i="55"/>
  <c r="G56" i="55" s="1"/>
  <c r="I55" i="55"/>
  <c r="F55" i="55"/>
  <c r="G55" i="55" s="1"/>
  <c r="I54" i="55"/>
  <c r="F54" i="55"/>
  <c r="E47" i="55"/>
  <c r="AA30" i="55"/>
  <c r="AA34" i="55" s="1"/>
  <c r="AA35" i="55"/>
  <c r="I34" i="55"/>
  <c r="D34" i="55"/>
  <c r="D33" i="55"/>
  <c r="I32" i="55"/>
  <c r="D32" i="55"/>
  <c r="D31" i="55"/>
  <c r="I30" i="55"/>
  <c r="D30" i="55"/>
  <c r="I29" i="55"/>
  <c r="D29" i="55"/>
  <c r="X12" i="55"/>
  <c r="W12" i="55"/>
  <c r="V12" i="55"/>
  <c r="U12" i="55"/>
  <c r="T12" i="55"/>
  <c r="T14" i="55" s="1"/>
  <c r="T16" i="55" s="1"/>
  <c r="T22" i="55"/>
  <c r="T24" i="55" s="1"/>
  <c r="S12" i="55"/>
  <c r="S22" i="55" s="1"/>
  <c r="S14" i="55"/>
  <c r="T23" i="55"/>
  <c r="L21" i="55"/>
  <c r="K21" i="55"/>
  <c r="J21" i="55"/>
  <c r="I21" i="55"/>
  <c r="L20" i="55"/>
  <c r="K20" i="55"/>
  <c r="J20" i="55"/>
  <c r="I20" i="55"/>
  <c r="L19" i="55"/>
  <c r="K19" i="55"/>
  <c r="J19" i="55"/>
  <c r="I19" i="55"/>
  <c r="L18" i="55"/>
  <c r="K18" i="55"/>
  <c r="J18" i="55"/>
  <c r="I18" i="55"/>
  <c r="L17" i="55"/>
  <c r="K17" i="55"/>
  <c r="J17" i="55"/>
  <c r="I17" i="55"/>
  <c r="L16" i="55"/>
  <c r="K16" i="55"/>
  <c r="J16" i="55"/>
  <c r="I16" i="55"/>
  <c r="D10" i="55"/>
  <c r="C54" i="54"/>
  <c r="D54" i="54" s="1"/>
  <c r="F94" i="54"/>
  <c r="G94" i="54" s="1"/>
  <c r="E94" i="54"/>
  <c r="D55" i="54"/>
  <c r="F95" i="54"/>
  <c r="G95" i="54" s="1"/>
  <c r="E95" i="54"/>
  <c r="C42" i="54"/>
  <c r="C95" i="54"/>
  <c r="D56" i="54"/>
  <c r="F96" i="54"/>
  <c r="E96" i="54"/>
  <c r="G96" i="54"/>
  <c r="C43" i="54"/>
  <c r="C96" i="54"/>
  <c r="D57" i="54"/>
  <c r="F97" i="54"/>
  <c r="E97" i="54"/>
  <c r="C44" i="54"/>
  <c r="M44" i="54" s="1"/>
  <c r="D58" i="54"/>
  <c r="F98" i="54"/>
  <c r="G98" i="54" s="1"/>
  <c r="E98" i="54"/>
  <c r="C45" i="54"/>
  <c r="D59" i="54"/>
  <c r="D99" i="54" s="1"/>
  <c r="F99" i="54"/>
  <c r="E99" i="54"/>
  <c r="C46" i="54"/>
  <c r="D179" i="54"/>
  <c r="K54" i="54"/>
  <c r="L54" i="54" s="1"/>
  <c r="K55" i="54"/>
  <c r="L55" i="54" s="1"/>
  <c r="D70" i="54" s="1"/>
  <c r="K56" i="54"/>
  <c r="L56" i="54"/>
  <c r="D71" i="54" s="1"/>
  <c r="K57" i="54"/>
  <c r="L57" i="54"/>
  <c r="D72" i="54" s="1"/>
  <c r="K58" i="54"/>
  <c r="L58" i="54"/>
  <c r="D73" i="54" s="1"/>
  <c r="K59" i="54"/>
  <c r="L59" i="54" s="1"/>
  <c r="D74" i="54" s="1"/>
  <c r="G16" i="54"/>
  <c r="H16" i="54" s="1"/>
  <c r="G17" i="54"/>
  <c r="G18" i="54"/>
  <c r="H18" i="54" s="1"/>
  <c r="G19" i="54"/>
  <c r="G20" i="54"/>
  <c r="H20" i="54" s="1"/>
  <c r="G21" i="54"/>
  <c r="C30" i="54"/>
  <c r="C31" i="54"/>
  <c r="C32" i="54"/>
  <c r="C33" i="54"/>
  <c r="C34" i="54"/>
  <c r="J35" i="54"/>
  <c r="L70" i="54"/>
  <c r="M70" i="54" s="1"/>
  <c r="L71" i="54"/>
  <c r="M71" i="54" s="1"/>
  <c r="L72" i="54"/>
  <c r="M72" i="54" s="1"/>
  <c r="L73" i="54"/>
  <c r="L74" i="54"/>
  <c r="M74" i="54" s="1"/>
  <c r="M42" i="54"/>
  <c r="M43" i="54"/>
  <c r="M45" i="54"/>
  <c r="H70" i="54"/>
  <c r="H71" i="54"/>
  <c r="H72" i="54"/>
  <c r="H73" i="54"/>
  <c r="H74" i="54"/>
  <c r="AA110" i="54"/>
  <c r="Y110" i="54"/>
  <c r="AC110" i="54"/>
  <c r="AD110" i="54"/>
  <c r="AA111" i="54"/>
  <c r="Y111" i="54"/>
  <c r="AC111" i="54"/>
  <c r="AD111" i="54"/>
  <c r="AA112" i="54"/>
  <c r="Y112" i="54"/>
  <c r="AC112" i="54"/>
  <c r="AD112" i="54"/>
  <c r="AA113" i="54"/>
  <c r="Y113" i="54"/>
  <c r="AC113" i="54"/>
  <c r="AD113" i="54"/>
  <c r="AA114" i="54"/>
  <c r="Y114" i="54"/>
  <c r="AB114" i="54"/>
  <c r="AC114" i="54"/>
  <c r="AD114" i="54"/>
  <c r="AA115" i="54"/>
  <c r="Y115" i="54"/>
  <c r="AC115" i="54"/>
  <c r="AD115" i="54"/>
  <c r="AA116" i="54"/>
  <c r="Y116" i="54"/>
  <c r="AB116" i="54" s="1"/>
  <c r="AC116" i="54"/>
  <c r="AD116" i="54"/>
  <c r="AA117" i="54"/>
  <c r="Y117" i="54"/>
  <c r="AC117" i="54"/>
  <c r="AD117" i="54"/>
  <c r="AA118" i="54"/>
  <c r="Y118" i="54"/>
  <c r="AB118" i="54" s="1"/>
  <c r="AC118" i="54"/>
  <c r="AD118" i="54"/>
  <c r="AA119" i="54"/>
  <c r="Y119" i="54"/>
  <c r="AC119" i="54"/>
  <c r="AD119" i="54"/>
  <c r="AA120" i="54"/>
  <c r="Y120" i="54"/>
  <c r="AB120" i="54" s="1"/>
  <c r="AC120" i="54"/>
  <c r="AD120" i="54"/>
  <c r="AA121" i="54"/>
  <c r="Y121" i="54"/>
  <c r="AC121" i="54"/>
  <c r="AD121" i="54"/>
  <c r="AA122" i="54"/>
  <c r="Y122" i="54"/>
  <c r="AB122" i="54"/>
  <c r="AC122" i="54"/>
  <c r="AD122" i="54"/>
  <c r="AA123" i="54"/>
  <c r="Y123" i="54"/>
  <c r="AC123" i="54"/>
  <c r="AD123" i="54"/>
  <c r="AA124" i="54"/>
  <c r="Y124" i="54"/>
  <c r="AC124" i="54"/>
  <c r="AD124" i="54"/>
  <c r="AA127" i="54"/>
  <c r="Y127" i="54"/>
  <c r="AC127" i="54"/>
  <c r="AD127" i="54"/>
  <c r="AA128" i="54"/>
  <c r="Y128" i="54"/>
  <c r="AC128" i="54"/>
  <c r="AD128" i="54"/>
  <c r="AA129" i="54"/>
  <c r="Y129" i="54"/>
  <c r="AC129" i="54"/>
  <c r="AD129" i="54"/>
  <c r="AA130" i="54"/>
  <c r="Y130" i="54"/>
  <c r="AB130" i="54" s="1"/>
  <c r="AC130" i="54"/>
  <c r="AD130" i="54"/>
  <c r="AA131" i="54"/>
  <c r="Y131" i="54"/>
  <c r="AC131" i="54"/>
  <c r="AD131" i="54"/>
  <c r="AA132" i="54"/>
  <c r="Y132" i="54"/>
  <c r="AB132" i="54" s="1"/>
  <c r="AC132" i="54"/>
  <c r="AD132" i="54"/>
  <c r="AA133" i="54"/>
  <c r="Y133" i="54"/>
  <c r="AC133" i="54"/>
  <c r="AD133" i="54"/>
  <c r="AA134" i="54"/>
  <c r="Y134" i="54"/>
  <c r="AB134" i="54"/>
  <c r="AC134" i="54"/>
  <c r="AD134" i="54"/>
  <c r="AA135" i="54"/>
  <c r="Y135" i="54"/>
  <c r="AC135" i="54"/>
  <c r="AD135" i="54"/>
  <c r="AA136" i="54"/>
  <c r="Y136" i="54"/>
  <c r="AC136" i="54"/>
  <c r="AD136" i="54"/>
  <c r="AA137" i="54"/>
  <c r="Y137" i="54"/>
  <c r="AC137" i="54"/>
  <c r="AD137" i="54"/>
  <c r="AA138" i="54"/>
  <c r="Y138" i="54"/>
  <c r="AC138" i="54"/>
  <c r="AD138" i="54"/>
  <c r="AA141" i="54"/>
  <c r="Y141" i="54"/>
  <c r="AC141" i="54"/>
  <c r="AD141" i="54"/>
  <c r="AA142" i="54"/>
  <c r="Y142" i="54"/>
  <c r="AC142" i="54"/>
  <c r="AD142" i="54"/>
  <c r="AA143" i="54"/>
  <c r="Y143" i="54"/>
  <c r="AB143" i="54" s="1"/>
  <c r="AC143" i="54"/>
  <c r="AD143" i="54"/>
  <c r="AA144" i="54"/>
  <c r="Y144" i="54"/>
  <c r="AB144" i="54"/>
  <c r="AC144" i="54"/>
  <c r="AD144" i="54"/>
  <c r="AA145" i="54"/>
  <c r="Y145" i="54"/>
  <c r="AC145" i="54"/>
  <c r="AD145" i="54"/>
  <c r="AA146" i="54"/>
  <c r="Y146" i="54"/>
  <c r="AC146" i="54"/>
  <c r="AD146" i="54"/>
  <c r="AA147" i="54"/>
  <c r="AO142" i="54"/>
  <c r="AN143" i="54"/>
  <c r="AP141" i="54"/>
  <c r="AQ141" i="54" s="1"/>
  <c r="AK110" i="54"/>
  <c r="AI110" i="54"/>
  <c r="AM110" i="54"/>
  <c r="AO110" i="54"/>
  <c r="AK111" i="54"/>
  <c r="AI111" i="54"/>
  <c r="AM111" i="54"/>
  <c r="AO111" i="54"/>
  <c r="AK112" i="54"/>
  <c r="AI112" i="54"/>
  <c r="AM112" i="54"/>
  <c r="AO112" i="54"/>
  <c r="AK113" i="54"/>
  <c r="AI113" i="54"/>
  <c r="AM113" i="54"/>
  <c r="AO113" i="54"/>
  <c r="AK114" i="54"/>
  <c r="AI114" i="54"/>
  <c r="AM114" i="54"/>
  <c r="AO114" i="54"/>
  <c r="AK115" i="54"/>
  <c r="AI115" i="54"/>
  <c r="AL115" i="54" s="1"/>
  <c r="AM115" i="54"/>
  <c r="AO115" i="54"/>
  <c r="AK118" i="54"/>
  <c r="AI118" i="54"/>
  <c r="AM118" i="54"/>
  <c r="AO118" i="54"/>
  <c r="AK119" i="54"/>
  <c r="AI119" i="54"/>
  <c r="AL119" i="54" s="1"/>
  <c r="AM119" i="54"/>
  <c r="AO119" i="54"/>
  <c r="AK120" i="54"/>
  <c r="AI120" i="54"/>
  <c r="AM120" i="54"/>
  <c r="AO120" i="54"/>
  <c r="AK121" i="54"/>
  <c r="AI121" i="54"/>
  <c r="AM121" i="54"/>
  <c r="AO121" i="54"/>
  <c r="AK122" i="54"/>
  <c r="AI122" i="54"/>
  <c r="AM122" i="54"/>
  <c r="AO122" i="54"/>
  <c r="AK123" i="54"/>
  <c r="AI123" i="54"/>
  <c r="AL123" i="54" s="1"/>
  <c r="AM123" i="54"/>
  <c r="AO123" i="54"/>
  <c r="AK124" i="54"/>
  <c r="AI124" i="54"/>
  <c r="AM124" i="54"/>
  <c r="AO124" i="54"/>
  <c r="AK125" i="54"/>
  <c r="AI125" i="54"/>
  <c r="AM125" i="54"/>
  <c r="AO125" i="54"/>
  <c r="AK126" i="54"/>
  <c r="AI126" i="54"/>
  <c r="AM126" i="54"/>
  <c r="AO126" i="54"/>
  <c r="AK127" i="54"/>
  <c r="AI127" i="54"/>
  <c r="AM127" i="54"/>
  <c r="AO127" i="54"/>
  <c r="AK128" i="54"/>
  <c r="AI128" i="54"/>
  <c r="AM128" i="54"/>
  <c r="AO128" i="54"/>
  <c r="AK129" i="54"/>
  <c r="AI129" i="54"/>
  <c r="AL129" i="54" s="1"/>
  <c r="AM129" i="54"/>
  <c r="AO129" i="54"/>
  <c r="AK132" i="54"/>
  <c r="AI132" i="54"/>
  <c r="AM132" i="54"/>
  <c r="AO132" i="54"/>
  <c r="AK133" i="54"/>
  <c r="AI133" i="54"/>
  <c r="AM133" i="54"/>
  <c r="AO133" i="54"/>
  <c r="AK134" i="54"/>
  <c r="AI134" i="54"/>
  <c r="AM134" i="54"/>
  <c r="AO134" i="54"/>
  <c r="AK135" i="54"/>
  <c r="AI135" i="54"/>
  <c r="AM135" i="54"/>
  <c r="AO135" i="54"/>
  <c r="AK136" i="54"/>
  <c r="AI136" i="54"/>
  <c r="AM136" i="54"/>
  <c r="AO136" i="54"/>
  <c r="AK137" i="54"/>
  <c r="AI137" i="54"/>
  <c r="AM137" i="54"/>
  <c r="AO137" i="54"/>
  <c r="AC147" i="54"/>
  <c r="AD147" i="54"/>
  <c r="E82" i="54"/>
  <c r="C83" i="54"/>
  <c r="E84" i="54"/>
  <c r="F84" i="54" s="1"/>
  <c r="C84" i="54"/>
  <c r="C85" i="54"/>
  <c r="E86" i="54"/>
  <c r="D87" i="54"/>
  <c r="C146" i="54"/>
  <c r="C145" i="54"/>
  <c r="Z144" i="54"/>
  <c r="C144" i="54"/>
  <c r="Z143" i="54"/>
  <c r="C143" i="54"/>
  <c r="T141" i="54"/>
  <c r="C141" i="54"/>
  <c r="C138" i="54"/>
  <c r="T137" i="54"/>
  <c r="M137" i="54"/>
  <c r="C137" i="54"/>
  <c r="T136" i="54"/>
  <c r="M136" i="54"/>
  <c r="C136" i="54"/>
  <c r="T135" i="54"/>
  <c r="M135" i="54"/>
  <c r="C135" i="54"/>
  <c r="Z134" i="54"/>
  <c r="T134" i="54"/>
  <c r="M134" i="54"/>
  <c r="C134" i="54"/>
  <c r="T133" i="54"/>
  <c r="M133" i="54"/>
  <c r="C133" i="54"/>
  <c r="Z132" i="54"/>
  <c r="M132" i="54"/>
  <c r="C132" i="54"/>
  <c r="C130" i="54"/>
  <c r="AJ129" i="54"/>
  <c r="T129" i="54"/>
  <c r="M129" i="54"/>
  <c r="C129" i="54"/>
  <c r="T128" i="54"/>
  <c r="M128" i="54"/>
  <c r="T127" i="54"/>
  <c r="M127" i="54"/>
  <c r="C127" i="54"/>
  <c r="T126" i="54"/>
  <c r="M126" i="54"/>
  <c r="T125" i="54"/>
  <c r="M125" i="54"/>
  <c r="T124" i="54"/>
  <c r="M124" i="54"/>
  <c r="C124" i="54"/>
  <c r="T123" i="54"/>
  <c r="M123" i="54"/>
  <c r="C123" i="54"/>
  <c r="Z122" i="54"/>
  <c r="T122" i="54"/>
  <c r="M122" i="54"/>
  <c r="C122" i="54"/>
  <c r="T121" i="54"/>
  <c r="M121" i="54"/>
  <c r="C121" i="54"/>
  <c r="Z120" i="54"/>
  <c r="T120" i="54"/>
  <c r="M120" i="54"/>
  <c r="C120" i="54"/>
  <c r="AJ119" i="54"/>
  <c r="T119" i="54"/>
  <c r="M119" i="54"/>
  <c r="C119" i="54"/>
  <c r="Z118" i="54"/>
  <c r="M118" i="54"/>
  <c r="C118" i="54"/>
  <c r="C117" i="54"/>
  <c r="C116" i="54"/>
  <c r="T115" i="54"/>
  <c r="M115" i="54"/>
  <c r="C115" i="54"/>
  <c r="Z114" i="54"/>
  <c r="T114" i="54"/>
  <c r="M114" i="54"/>
  <c r="C114" i="54"/>
  <c r="T113" i="54"/>
  <c r="M113" i="54"/>
  <c r="C113" i="54"/>
  <c r="T112" i="54"/>
  <c r="M112" i="54"/>
  <c r="T111" i="54"/>
  <c r="M111" i="54"/>
  <c r="C111" i="54"/>
  <c r="T110" i="54"/>
  <c r="M110" i="54"/>
  <c r="B74" i="54"/>
  <c r="M73" i="54"/>
  <c r="B73" i="54"/>
  <c r="B72" i="54"/>
  <c r="B71" i="54"/>
  <c r="B70" i="54"/>
  <c r="M69" i="54"/>
  <c r="B69" i="54"/>
  <c r="M54" i="54"/>
  <c r="M55" i="54"/>
  <c r="O55" i="54"/>
  <c r="M56" i="54"/>
  <c r="O56" i="54" s="1"/>
  <c r="M57" i="54"/>
  <c r="O57" i="54" s="1"/>
  <c r="M58" i="54"/>
  <c r="O58" i="54"/>
  <c r="M59" i="54"/>
  <c r="O59" i="54" s="1"/>
  <c r="M61" i="54"/>
  <c r="I59" i="54"/>
  <c r="F59" i="54"/>
  <c r="G59" i="54" s="1"/>
  <c r="I58" i="54"/>
  <c r="F58" i="54"/>
  <c r="G58" i="54"/>
  <c r="I57" i="54"/>
  <c r="F57" i="54"/>
  <c r="G57" i="54" s="1"/>
  <c r="I56" i="54"/>
  <c r="F56" i="54"/>
  <c r="G56" i="54" s="1"/>
  <c r="I55" i="54"/>
  <c r="F55" i="54"/>
  <c r="G55" i="54" s="1"/>
  <c r="I54" i="54"/>
  <c r="F54" i="54"/>
  <c r="J47" i="54"/>
  <c r="F47" i="54"/>
  <c r="D47" i="54"/>
  <c r="AA30" i="54"/>
  <c r="AA34" i="54" s="1"/>
  <c r="AA35" i="54"/>
  <c r="D34" i="54"/>
  <c r="D33" i="54"/>
  <c r="D32" i="54"/>
  <c r="D31" i="54"/>
  <c r="D30" i="54"/>
  <c r="I29" i="54"/>
  <c r="D29" i="54"/>
  <c r="X12" i="54"/>
  <c r="W12" i="54"/>
  <c r="V12" i="54"/>
  <c r="V22" i="54"/>
  <c r="V24" i="54" s="1"/>
  <c r="U12" i="54"/>
  <c r="T12" i="54"/>
  <c r="T14" i="54" s="1"/>
  <c r="T23" i="54" s="1"/>
  <c r="S12" i="54"/>
  <c r="V14" i="54"/>
  <c r="V23" i="54" s="1"/>
  <c r="T16" i="54"/>
  <c r="L21" i="54"/>
  <c r="K21" i="54"/>
  <c r="J21" i="54"/>
  <c r="I21" i="54"/>
  <c r="L20" i="54"/>
  <c r="K20" i="54"/>
  <c r="J20" i="54"/>
  <c r="I20" i="54"/>
  <c r="L19" i="54"/>
  <c r="K19" i="54"/>
  <c r="J19" i="54"/>
  <c r="I19" i="54"/>
  <c r="L18" i="54"/>
  <c r="K18" i="54"/>
  <c r="J18" i="54"/>
  <c r="I18" i="54"/>
  <c r="L17" i="54"/>
  <c r="K17" i="54"/>
  <c r="J17" i="54"/>
  <c r="I17" i="54"/>
  <c r="L16" i="54"/>
  <c r="K16" i="54"/>
  <c r="J16" i="54"/>
  <c r="I16" i="54"/>
  <c r="D10" i="54"/>
  <c r="C54" i="53"/>
  <c r="D54" i="53" s="1"/>
  <c r="D94" i="53"/>
  <c r="F94" i="53"/>
  <c r="E94" i="53"/>
  <c r="D55" i="53"/>
  <c r="D95" i="53" s="1"/>
  <c r="F95" i="53"/>
  <c r="G95" i="53" s="1"/>
  <c r="E95" i="53"/>
  <c r="C42" i="53"/>
  <c r="C95" i="53"/>
  <c r="D56" i="53"/>
  <c r="F96" i="53"/>
  <c r="G96" i="53" s="1"/>
  <c r="E96" i="53"/>
  <c r="C43" i="53"/>
  <c r="C96" i="53"/>
  <c r="D57" i="53"/>
  <c r="D97" i="53" s="1"/>
  <c r="F97" i="53"/>
  <c r="E97" i="53"/>
  <c r="G97" i="53" s="1"/>
  <c r="C44" i="53"/>
  <c r="M44" i="53" s="1"/>
  <c r="C97" i="53"/>
  <c r="D58" i="53"/>
  <c r="F98" i="53"/>
  <c r="E98" i="53"/>
  <c r="C45" i="53"/>
  <c r="C98" i="53"/>
  <c r="D59" i="53"/>
  <c r="F99" i="53"/>
  <c r="E99" i="53"/>
  <c r="G99" i="53"/>
  <c r="C46" i="53"/>
  <c r="C99" i="53" s="1"/>
  <c r="D179" i="53"/>
  <c r="K54" i="53"/>
  <c r="L54" i="53" s="1"/>
  <c r="K55" i="53"/>
  <c r="L55" i="53"/>
  <c r="D70" i="53" s="1"/>
  <c r="K56" i="53"/>
  <c r="L56" i="53"/>
  <c r="D71" i="53" s="1"/>
  <c r="K57" i="53"/>
  <c r="L57" i="53" s="1"/>
  <c r="D72" i="53" s="1"/>
  <c r="K58" i="53"/>
  <c r="L58" i="53"/>
  <c r="D73" i="53" s="1"/>
  <c r="K59" i="53"/>
  <c r="L59" i="53" s="1"/>
  <c r="D74" i="53" s="1"/>
  <c r="G16" i="53"/>
  <c r="H16" i="53" s="1"/>
  <c r="G17" i="53"/>
  <c r="G18" i="53"/>
  <c r="G19" i="53"/>
  <c r="G20" i="53"/>
  <c r="G21" i="53"/>
  <c r="C30" i="53"/>
  <c r="C31" i="53"/>
  <c r="C32" i="53"/>
  <c r="C33" i="53"/>
  <c r="C34" i="53"/>
  <c r="J35" i="53"/>
  <c r="L31" i="53"/>
  <c r="L33" i="53"/>
  <c r="L70" i="53"/>
  <c r="M70" i="53" s="1"/>
  <c r="L71" i="53"/>
  <c r="M71" i="53" s="1"/>
  <c r="L72" i="53"/>
  <c r="M72" i="53" s="1"/>
  <c r="L73" i="53"/>
  <c r="L74" i="53"/>
  <c r="M74" i="53" s="1"/>
  <c r="M42" i="53"/>
  <c r="M43" i="53"/>
  <c r="M45" i="53"/>
  <c r="M46" i="53"/>
  <c r="H70" i="53"/>
  <c r="H71" i="53"/>
  <c r="H72" i="53"/>
  <c r="H73" i="53"/>
  <c r="H74" i="53"/>
  <c r="AA110" i="53"/>
  <c r="Y110" i="53"/>
  <c r="AC110" i="53"/>
  <c r="AD110" i="53"/>
  <c r="AA111" i="53"/>
  <c r="Y111" i="53"/>
  <c r="AC111" i="53"/>
  <c r="AD111" i="53"/>
  <c r="AA112" i="53"/>
  <c r="Y112" i="53"/>
  <c r="AC112" i="53"/>
  <c r="AD112" i="53"/>
  <c r="AA113" i="53"/>
  <c r="Y113" i="53"/>
  <c r="AC113" i="53"/>
  <c r="AD113" i="53"/>
  <c r="AA114" i="53"/>
  <c r="Y114" i="53"/>
  <c r="AB114" i="53"/>
  <c r="AC114" i="53"/>
  <c r="AD114" i="53"/>
  <c r="AA115" i="53"/>
  <c r="Y115" i="53"/>
  <c r="AC115" i="53"/>
  <c r="AD115" i="53"/>
  <c r="AA116" i="53"/>
  <c r="Y116" i="53"/>
  <c r="AB116" i="53"/>
  <c r="AC116" i="53"/>
  <c r="AD116" i="53"/>
  <c r="AA117" i="53"/>
  <c r="Y117" i="53"/>
  <c r="AC117" i="53"/>
  <c r="AD117" i="53"/>
  <c r="AA118" i="53"/>
  <c r="Y118" i="53"/>
  <c r="AC118" i="53"/>
  <c r="AD118" i="53"/>
  <c r="AA119" i="53"/>
  <c r="Y119" i="53"/>
  <c r="AC119" i="53"/>
  <c r="AD119" i="53"/>
  <c r="AA120" i="53"/>
  <c r="Y120" i="53"/>
  <c r="AC120" i="53"/>
  <c r="AD120" i="53"/>
  <c r="AA121" i="53"/>
  <c r="Y121" i="53"/>
  <c r="AC121" i="53"/>
  <c r="AD121" i="53"/>
  <c r="AA122" i="53"/>
  <c r="Y122" i="53"/>
  <c r="AB122" i="53"/>
  <c r="AC122" i="53"/>
  <c r="AD122" i="53"/>
  <c r="AA123" i="53"/>
  <c r="Y123" i="53"/>
  <c r="AC123" i="53"/>
  <c r="AD123" i="53"/>
  <c r="AA124" i="53"/>
  <c r="Y124" i="53"/>
  <c r="AC124" i="53"/>
  <c r="AD124" i="53"/>
  <c r="AA127" i="53"/>
  <c r="Y127" i="53"/>
  <c r="AC127" i="53"/>
  <c r="AD127" i="53"/>
  <c r="AA128" i="53"/>
  <c r="Y128" i="53"/>
  <c r="AB128" i="53" s="1"/>
  <c r="AC128" i="53"/>
  <c r="AD128" i="53"/>
  <c r="AA129" i="53"/>
  <c r="Y129" i="53"/>
  <c r="AC129" i="53"/>
  <c r="AD129" i="53"/>
  <c r="AA130" i="53"/>
  <c r="Y130" i="53"/>
  <c r="AB130" i="53" s="1"/>
  <c r="AC130" i="53"/>
  <c r="AD130" i="53"/>
  <c r="AA131" i="53"/>
  <c r="AE131" i="53" s="1"/>
  <c r="AF131" i="53" s="1"/>
  <c r="Y131" i="53"/>
  <c r="AB131" i="53" s="1"/>
  <c r="AC131" i="53"/>
  <c r="AD131" i="53"/>
  <c r="AA132" i="53"/>
  <c r="Y132" i="53"/>
  <c r="AC132" i="53"/>
  <c r="AD132" i="53"/>
  <c r="AA133" i="53"/>
  <c r="Y133" i="53"/>
  <c r="AC133" i="53"/>
  <c r="AD133" i="53"/>
  <c r="AA134" i="53"/>
  <c r="Y134" i="53"/>
  <c r="AB134" i="53" s="1"/>
  <c r="AC134" i="53"/>
  <c r="AD134" i="53"/>
  <c r="AA135" i="53"/>
  <c r="Y135" i="53"/>
  <c r="AC135" i="53"/>
  <c r="AD135" i="53"/>
  <c r="AA136" i="53"/>
  <c r="Y136" i="53"/>
  <c r="AB136" i="53"/>
  <c r="AC136" i="53"/>
  <c r="AD136" i="53"/>
  <c r="AA137" i="53"/>
  <c r="Y137" i="53"/>
  <c r="AC137" i="53"/>
  <c r="AD137" i="53"/>
  <c r="AA138" i="53"/>
  <c r="Y138" i="53"/>
  <c r="AB138" i="53"/>
  <c r="AC138" i="53"/>
  <c r="AD138" i="53"/>
  <c r="AA141" i="53"/>
  <c r="Y141" i="53"/>
  <c r="AC141" i="53"/>
  <c r="AD141" i="53"/>
  <c r="AA142" i="53"/>
  <c r="Y142" i="53"/>
  <c r="AC142" i="53"/>
  <c r="AD142" i="53"/>
  <c r="AA143" i="53"/>
  <c r="Y143" i="53"/>
  <c r="AC143" i="53"/>
  <c r="AD143" i="53"/>
  <c r="AA144" i="53"/>
  <c r="Y144" i="53"/>
  <c r="AB144" i="53" s="1"/>
  <c r="AC144" i="53"/>
  <c r="AD144" i="53"/>
  <c r="AA145" i="53"/>
  <c r="Y145" i="53"/>
  <c r="AB145" i="53" s="1"/>
  <c r="AC145" i="53"/>
  <c r="AD145" i="53"/>
  <c r="AA146" i="53"/>
  <c r="Y146" i="53"/>
  <c r="AB146" i="53"/>
  <c r="AC146" i="53"/>
  <c r="AD146" i="53"/>
  <c r="AA147" i="53"/>
  <c r="AO142" i="53"/>
  <c r="AN143" i="53"/>
  <c r="AP141" i="53"/>
  <c r="AK110" i="53"/>
  <c r="AI110" i="53"/>
  <c r="AM110" i="53"/>
  <c r="AO110" i="53"/>
  <c r="AK111" i="53"/>
  <c r="AI111" i="53"/>
  <c r="AL111" i="53" s="1"/>
  <c r="AM111" i="53"/>
  <c r="AP111" i="53" s="1"/>
  <c r="AQ111" i="53" s="1"/>
  <c r="AO111" i="53"/>
  <c r="AK112" i="53"/>
  <c r="AI112" i="53"/>
  <c r="AM112" i="53"/>
  <c r="AO112" i="53"/>
  <c r="AK113" i="53"/>
  <c r="AI113" i="53"/>
  <c r="AL113" i="53" s="1"/>
  <c r="AM113" i="53"/>
  <c r="AO113" i="53"/>
  <c r="AK114" i="53"/>
  <c r="AI114" i="53"/>
  <c r="AM114" i="53"/>
  <c r="AO114" i="53"/>
  <c r="AK115" i="53"/>
  <c r="AI115" i="53"/>
  <c r="AL115" i="53" s="1"/>
  <c r="AM115" i="53"/>
  <c r="AO115" i="53"/>
  <c r="AP115" i="53"/>
  <c r="AQ115" i="53" s="1"/>
  <c r="AK118" i="53"/>
  <c r="AI118" i="53"/>
  <c r="AM118" i="53"/>
  <c r="AO118" i="53"/>
  <c r="AK119" i="53"/>
  <c r="AI119" i="53"/>
  <c r="AL119" i="53" s="1"/>
  <c r="AM119" i="53"/>
  <c r="AO119" i="53"/>
  <c r="AK120" i="53"/>
  <c r="AI120" i="53"/>
  <c r="AM120" i="53"/>
  <c r="AO120" i="53"/>
  <c r="AK121" i="53"/>
  <c r="AI121" i="53"/>
  <c r="AL121" i="53" s="1"/>
  <c r="AM121" i="53"/>
  <c r="AO121" i="53"/>
  <c r="AK122" i="53"/>
  <c r="AI122" i="53"/>
  <c r="AM122" i="53"/>
  <c r="AO122" i="53"/>
  <c r="AK123" i="53"/>
  <c r="AP123" i="53" s="1"/>
  <c r="AQ123" i="53" s="1"/>
  <c r="AI123" i="53"/>
  <c r="AL123" i="53" s="1"/>
  <c r="AM123" i="53"/>
  <c r="AO123" i="53"/>
  <c r="AK124" i="53"/>
  <c r="AI124" i="53"/>
  <c r="AM124" i="53"/>
  <c r="AO124" i="53"/>
  <c r="AK125" i="53"/>
  <c r="AI125" i="53"/>
  <c r="AL125" i="53" s="1"/>
  <c r="AM125" i="53"/>
  <c r="AO125" i="53"/>
  <c r="AP125" i="53" s="1"/>
  <c r="AQ125" i="53" s="1"/>
  <c r="AK126" i="53"/>
  <c r="AI126" i="53"/>
  <c r="AM126" i="53"/>
  <c r="AO126" i="53"/>
  <c r="AK127" i="53"/>
  <c r="AI127" i="53"/>
  <c r="AL127" i="53" s="1"/>
  <c r="AM127" i="53"/>
  <c r="AP127" i="53" s="1"/>
  <c r="AQ127" i="53" s="1"/>
  <c r="AO127" i="53"/>
  <c r="AK128" i="53"/>
  <c r="AI128" i="53"/>
  <c r="AM128" i="53"/>
  <c r="AO128" i="53"/>
  <c r="AK129" i="53"/>
  <c r="AI129" i="53"/>
  <c r="AL129" i="53" s="1"/>
  <c r="AM129" i="53"/>
  <c r="AO129" i="53"/>
  <c r="AK132" i="53"/>
  <c r="AI132" i="53"/>
  <c r="AM132" i="53"/>
  <c r="AO132" i="53"/>
  <c r="AK133" i="53"/>
  <c r="AI133" i="53"/>
  <c r="AL133" i="53" s="1"/>
  <c r="AM133" i="53"/>
  <c r="AO133" i="53"/>
  <c r="AP133" i="53"/>
  <c r="AQ133" i="53" s="1"/>
  <c r="AK134" i="53"/>
  <c r="AI134" i="53"/>
  <c r="AM134" i="53"/>
  <c r="AO134" i="53"/>
  <c r="AK135" i="53"/>
  <c r="AP135" i="53" s="1"/>
  <c r="AQ135" i="53" s="1"/>
  <c r="AI135" i="53"/>
  <c r="AL135" i="53" s="1"/>
  <c r="AM135" i="53"/>
  <c r="AO135" i="53"/>
  <c r="AK136" i="53"/>
  <c r="AI136" i="53"/>
  <c r="AM136" i="53"/>
  <c r="AO136" i="53"/>
  <c r="AK137" i="53"/>
  <c r="AI137" i="53"/>
  <c r="AM137" i="53"/>
  <c r="AO137" i="53"/>
  <c r="AC147" i="53"/>
  <c r="AD147" i="53"/>
  <c r="E82" i="53"/>
  <c r="D82" i="53"/>
  <c r="C83" i="53"/>
  <c r="D83" i="53"/>
  <c r="C84" i="53"/>
  <c r="C85" i="53"/>
  <c r="D85" i="53"/>
  <c r="C86" i="53"/>
  <c r="C87" i="53"/>
  <c r="Z146" i="53"/>
  <c r="C146" i="53"/>
  <c r="C145" i="53"/>
  <c r="Z144" i="53"/>
  <c r="C144" i="53"/>
  <c r="C143" i="53"/>
  <c r="T141" i="53"/>
  <c r="C141" i="53"/>
  <c r="Z138" i="53"/>
  <c r="C138" i="53"/>
  <c r="M137" i="53"/>
  <c r="C137" i="53"/>
  <c r="Z136" i="53"/>
  <c r="M136" i="53"/>
  <c r="C136" i="53"/>
  <c r="AJ135" i="53"/>
  <c r="M135" i="53"/>
  <c r="C135" i="53"/>
  <c r="Z134" i="53"/>
  <c r="M134" i="53"/>
  <c r="C134" i="53"/>
  <c r="AJ133" i="53"/>
  <c r="T133" i="53"/>
  <c r="M133" i="53"/>
  <c r="C133" i="53"/>
  <c r="M132" i="53"/>
  <c r="C132" i="53"/>
  <c r="Z131" i="53"/>
  <c r="C131" i="53"/>
  <c r="Z130" i="53"/>
  <c r="C130" i="53"/>
  <c r="M129" i="53"/>
  <c r="Z128" i="53"/>
  <c r="M128" i="53"/>
  <c r="C128" i="53"/>
  <c r="AJ127" i="53"/>
  <c r="T127" i="53"/>
  <c r="M127" i="53"/>
  <c r="C127" i="53"/>
  <c r="M126" i="53"/>
  <c r="M125" i="53"/>
  <c r="M124" i="53"/>
  <c r="C124" i="53"/>
  <c r="AJ123" i="53"/>
  <c r="M123" i="53"/>
  <c r="C123" i="53"/>
  <c r="Z122" i="53"/>
  <c r="M122" i="53"/>
  <c r="C122" i="53"/>
  <c r="T121" i="53"/>
  <c r="M121" i="53"/>
  <c r="C121" i="53"/>
  <c r="M120" i="53"/>
  <c r="C120" i="53"/>
  <c r="AJ119" i="53"/>
  <c r="M119" i="53"/>
  <c r="C119" i="53"/>
  <c r="M118" i="53"/>
  <c r="C118" i="53"/>
  <c r="C117" i="53"/>
  <c r="Z116" i="53"/>
  <c r="C116" i="53"/>
  <c r="AJ115" i="53"/>
  <c r="M115" i="53"/>
  <c r="C115" i="53"/>
  <c r="Z114" i="53"/>
  <c r="M114" i="53"/>
  <c r="C114" i="53"/>
  <c r="AJ113" i="53"/>
  <c r="M113" i="53"/>
  <c r="C113" i="53"/>
  <c r="M112" i="53"/>
  <c r="AJ111" i="53"/>
  <c r="M111" i="53"/>
  <c r="C111" i="53"/>
  <c r="M110" i="53"/>
  <c r="B74" i="53"/>
  <c r="M73" i="53"/>
  <c r="B73" i="53"/>
  <c r="B72" i="53"/>
  <c r="B71" i="53"/>
  <c r="B70" i="53"/>
  <c r="M69" i="53"/>
  <c r="B69" i="53"/>
  <c r="M54" i="53"/>
  <c r="O54" i="53"/>
  <c r="M55" i="53"/>
  <c r="O55" i="53" s="1"/>
  <c r="M56" i="53"/>
  <c r="O56" i="53" s="1"/>
  <c r="M57" i="53"/>
  <c r="O57" i="53"/>
  <c r="M58" i="53"/>
  <c r="O58" i="53"/>
  <c r="M59" i="53"/>
  <c r="O59" i="53" s="1"/>
  <c r="M61" i="53"/>
  <c r="I59" i="53"/>
  <c r="F59" i="53"/>
  <c r="G59" i="53" s="1"/>
  <c r="I58" i="53"/>
  <c r="F58" i="53"/>
  <c r="G58" i="53" s="1"/>
  <c r="I57" i="53"/>
  <c r="F57" i="53"/>
  <c r="G57" i="53" s="1"/>
  <c r="I56" i="53"/>
  <c r="F56" i="53"/>
  <c r="G56" i="53"/>
  <c r="I55" i="53"/>
  <c r="F55" i="53"/>
  <c r="G55" i="53" s="1"/>
  <c r="I54" i="53"/>
  <c r="F54" i="53"/>
  <c r="G54" i="53" s="1"/>
  <c r="L47" i="53"/>
  <c r="K47" i="53"/>
  <c r="J47" i="53"/>
  <c r="I47" i="53"/>
  <c r="H47" i="53"/>
  <c r="G47" i="53"/>
  <c r="F47" i="53"/>
  <c r="E47" i="53"/>
  <c r="D47" i="53"/>
  <c r="AA30" i="53"/>
  <c r="AA34" i="53" s="1"/>
  <c r="AA35" i="53"/>
  <c r="D34" i="53"/>
  <c r="D33" i="53"/>
  <c r="D32" i="53"/>
  <c r="D31" i="53"/>
  <c r="D30" i="53"/>
  <c r="I29" i="53"/>
  <c r="D29" i="53"/>
  <c r="X12" i="53"/>
  <c r="W12" i="53"/>
  <c r="V12" i="53"/>
  <c r="V22" i="53"/>
  <c r="V24" i="53" s="1"/>
  <c r="U12" i="53"/>
  <c r="T12" i="53"/>
  <c r="S12" i="53"/>
  <c r="V14" i="53"/>
  <c r="L21" i="53"/>
  <c r="K21" i="53"/>
  <c r="J21" i="53"/>
  <c r="I21" i="53"/>
  <c r="L20" i="53"/>
  <c r="K20" i="53"/>
  <c r="J20" i="53"/>
  <c r="I20" i="53"/>
  <c r="L19" i="53"/>
  <c r="K19" i="53"/>
  <c r="J19" i="53"/>
  <c r="I19" i="53"/>
  <c r="L18" i="53"/>
  <c r="K18" i="53"/>
  <c r="J18" i="53"/>
  <c r="I18" i="53"/>
  <c r="L17" i="53"/>
  <c r="K17" i="53"/>
  <c r="J17" i="53"/>
  <c r="I17" i="53"/>
  <c r="L16" i="53"/>
  <c r="K16" i="53"/>
  <c r="J16" i="53"/>
  <c r="I16" i="53"/>
  <c r="D10" i="53"/>
  <c r="E94" i="52"/>
  <c r="C41" i="52"/>
  <c r="D55" i="52"/>
  <c r="F95" i="52"/>
  <c r="E95" i="52"/>
  <c r="G95" i="52" s="1"/>
  <c r="C42" i="52"/>
  <c r="D56" i="52"/>
  <c r="D96" i="52"/>
  <c r="F96" i="52"/>
  <c r="E96" i="52"/>
  <c r="C43" i="52"/>
  <c r="D57" i="52"/>
  <c r="F97" i="52"/>
  <c r="E97" i="52"/>
  <c r="C44" i="52"/>
  <c r="D58" i="52"/>
  <c r="D98" i="52" s="1"/>
  <c r="F98" i="52"/>
  <c r="E98" i="52"/>
  <c r="G98" i="52" s="1"/>
  <c r="C45" i="52"/>
  <c r="C98" i="52" s="1"/>
  <c r="D59" i="52"/>
  <c r="D99" i="52"/>
  <c r="F99" i="52"/>
  <c r="E99" i="52"/>
  <c r="C46" i="52"/>
  <c r="D179" i="52"/>
  <c r="H54" i="52"/>
  <c r="E60" i="52" s="1"/>
  <c r="F22" i="52"/>
  <c r="M61" i="52" s="1"/>
  <c r="K55" i="52"/>
  <c r="L55" i="52"/>
  <c r="D70" i="52" s="1"/>
  <c r="K56" i="52"/>
  <c r="L56" i="52" s="1"/>
  <c r="D71" i="52" s="1"/>
  <c r="K57" i="52"/>
  <c r="L57" i="52"/>
  <c r="D72" i="52" s="1"/>
  <c r="K58" i="52"/>
  <c r="L58" i="52" s="1"/>
  <c r="D73" i="52" s="1"/>
  <c r="K59" i="52"/>
  <c r="L59" i="52" s="1"/>
  <c r="D74" i="52" s="1"/>
  <c r="G16" i="52"/>
  <c r="E82" i="52" s="1"/>
  <c r="G17" i="52"/>
  <c r="G18" i="52"/>
  <c r="H18" i="52"/>
  <c r="G19" i="52"/>
  <c r="H19" i="52" s="1"/>
  <c r="G20" i="52"/>
  <c r="H20" i="52"/>
  <c r="G21" i="52"/>
  <c r="H21" i="52"/>
  <c r="C29" i="52"/>
  <c r="L29" i="52" s="1"/>
  <c r="C30" i="52"/>
  <c r="C31" i="52"/>
  <c r="C32" i="52"/>
  <c r="C33" i="52"/>
  <c r="C34" i="52"/>
  <c r="I34" i="52" s="1"/>
  <c r="J35" i="52"/>
  <c r="L69" i="52"/>
  <c r="L70" i="52"/>
  <c r="M70" i="52" s="1"/>
  <c r="L71" i="52"/>
  <c r="L72" i="52"/>
  <c r="L73" i="52"/>
  <c r="L74" i="52"/>
  <c r="M41" i="52"/>
  <c r="M45" i="52"/>
  <c r="H69" i="52"/>
  <c r="H70" i="52"/>
  <c r="H71" i="52"/>
  <c r="H72" i="52"/>
  <c r="H73" i="52"/>
  <c r="H74" i="52"/>
  <c r="AA110" i="52"/>
  <c r="Y110" i="52"/>
  <c r="AB110" i="52" s="1"/>
  <c r="AC110" i="52"/>
  <c r="AD110" i="52"/>
  <c r="AA111" i="52"/>
  <c r="Y111" i="52"/>
  <c r="AB111" i="52"/>
  <c r="AC111" i="52"/>
  <c r="AD111" i="52"/>
  <c r="AA112" i="52"/>
  <c r="Y112" i="52"/>
  <c r="AC112" i="52"/>
  <c r="AD112" i="52"/>
  <c r="AA113" i="52"/>
  <c r="Y113" i="52"/>
  <c r="AB113" i="52"/>
  <c r="AC113" i="52"/>
  <c r="AD113" i="52"/>
  <c r="AA114" i="52"/>
  <c r="Y114" i="52"/>
  <c r="AB114" i="52" s="1"/>
  <c r="AC114" i="52"/>
  <c r="AD114" i="52"/>
  <c r="AA115" i="52"/>
  <c r="Y115" i="52"/>
  <c r="AB115" i="52"/>
  <c r="AC115" i="52"/>
  <c r="AD115" i="52"/>
  <c r="AA116" i="52"/>
  <c r="AE116" i="52" s="1"/>
  <c r="AF116" i="52" s="1"/>
  <c r="Y116" i="52"/>
  <c r="AB116" i="52" s="1"/>
  <c r="AC116" i="52"/>
  <c r="AD116" i="52"/>
  <c r="AA117" i="52"/>
  <c r="Y117" i="52"/>
  <c r="AC117" i="52"/>
  <c r="AD117" i="52"/>
  <c r="AA118" i="52"/>
  <c r="Y118" i="52"/>
  <c r="AB118" i="52"/>
  <c r="AC118" i="52"/>
  <c r="AD118" i="52"/>
  <c r="AA119" i="52"/>
  <c r="Y119" i="52"/>
  <c r="AB119" i="52" s="1"/>
  <c r="AC119" i="52"/>
  <c r="AD119" i="52"/>
  <c r="AA120" i="52"/>
  <c r="Y120" i="52"/>
  <c r="AB120" i="52"/>
  <c r="AC120" i="52"/>
  <c r="AD120" i="52"/>
  <c r="AA121" i="52"/>
  <c r="Y121" i="52"/>
  <c r="AB121" i="52" s="1"/>
  <c r="AC121" i="52"/>
  <c r="AD121" i="52"/>
  <c r="AA122" i="52"/>
  <c r="Y122" i="52"/>
  <c r="AB122" i="52"/>
  <c r="AC122" i="52"/>
  <c r="AD122" i="52"/>
  <c r="AA123" i="52"/>
  <c r="Y123" i="52"/>
  <c r="AC123" i="52"/>
  <c r="AD123" i="52"/>
  <c r="AA124" i="52"/>
  <c r="Y124" i="52"/>
  <c r="Z124" i="52" s="1"/>
  <c r="AB124" i="52"/>
  <c r="AC124" i="52"/>
  <c r="AD124" i="52"/>
  <c r="AA127" i="52"/>
  <c r="Y127" i="52"/>
  <c r="AB127" i="52" s="1"/>
  <c r="AC127" i="52"/>
  <c r="AD127" i="52"/>
  <c r="AA128" i="52"/>
  <c r="Y128" i="52"/>
  <c r="Z128" i="52" s="1"/>
  <c r="AB128" i="52"/>
  <c r="AC128" i="52"/>
  <c r="AD128" i="52"/>
  <c r="AA129" i="52"/>
  <c r="Y129" i="52"/>
  <c r="AB129" i="52" s="1"/>
  <c r="AC129" i="52"/>
  <c r="AD129" i="52"/>
  <c r="AA130" i="52"/>
  <c r="Y130" i="52"/>
  <c r="Z130" i="52" s="1"/>
  <c r="AB130" i="52"/>
  <c r="AC130" i="52"/>
  <c r="AD130" i="52"/>
  <c r="AA131" i="52"/>
  <c r="Y131" i="52"/>
  <c r="AC131" i="52"/>
  <c r="AD131" i="52"/>
  <c r="AA132" i="52"/>
  <c r="Y132" i="52"/>
  <c r="AB132" i="52"/>
  <c r="AC132" i="52"/>
  <c r="AD132" i="52"/>
  <c r="AA133" i="52"/>
  <c r="Y133" i="52"/>
  <c r="AB133" i="52" s="1"/>
  <c r="AC133" i="52"/>
  <c r="AD133" i="52"/>
  <c r="AA134" i="52"/>
  <c r="Y134" i="52"/>
  <c r="AB134" i="52"/>
  <c r="AC134" i="52"/>
  <c r="AD134" i="52"/>
  <c r="AA135" i="52"/>
  <c r="Y135" i="52"/>
  <c r="AC135" i="52"/>
  <c r="AD135" i="52"/>
  <c r="AA136" i="52"/>
  <c r="Y136" i="52"/>
  <c r="AB136" i="52"/>
  <c r="AC136" i="52"/>
  <c r="AD136" i="52"/>
  <c r="AA137" i="52"/>
  <c r="Y137" i="52"/>
  <c r="AB137" i="52" s="1"/>
  <c r="AC137" i="52"/>
  <c r="AD137" i="52"/>
  <c r="AA138" i="52"/>
  <c r="Y138" i="52"/>
  <c r="AB138" i="52"/>
  <c r="AC138" i="52"/>
  <c r="AD138" i="52"/>
  <c r="AA141" i="52"/>
  <c r="Y141" i="52"/>
  <c r="AC141" i="52"/>
  <c r="AD141" i="52"/>
  <c r="AA142" i="52"/>
  <c r="Y142" i="52"/>
  <c r="AB142" i="52"/>
  <c r="AC142" i="52"/>
  <c r="AD142" i="52"/>
  <c r="AA143" i="52"/>
  <c r="Y143" i="52"/>
  <c r="AC143" i="52"/>
  <c r="AD143" i="52"/>
  <c r="AA144" i="52"/>
  <c r="Y144" i="52"/>
  <c r="Z144" i="52" s="1"/>
  <c r="AB144" i="52"/>
  <c r="AC144" i="52"/>
  <c r="AD144" i="52"/>
  <c r="AA145" i="52"/>
  <c r="Y145" i="52"/>
  <c r="AC145" i="52"/>
  <c r="AD145" i="52"/>
  <c r="AA146" i="52"/>
  <c r="Y146" i="52"/>
  <c r="AB146" i="52"/>
  <c r="AC146" i="52"/>
  <c r="AD146" i="52"/>
  <c r="AA147" i="52"/>
  <c r="AO142" i="52"/>
  <c r="AN143" i="52"/>
  <c r="AP141" i="52"/>
  <c r="AK110" i="52"/>
  <c r="AI110" i="52"/>
  <c r="AM110" i="52"/>
  <c r="AO110" i="52"/>
  <c r="AK111" i="52"/>
  <c r="AI111" i="52"/>
  <c r="AM111" i="52"/>
  <c r="AO111" i="52"/>
  <c r="AK112" i="52"/>
  <c r="AI112" i="52"/>
  <c r="AL112" i="52" s="1"/>
  <c r="AM112" i="52"/>
  <c r="AO112" i="52"/>
  <c r="AK113" i="52"/>
  <c r="AI113" i="52"/>
  <c r="AM113" i="52"/>
  <c r="AO113" i="52"/>
  <c r="AK114" i="52"/>
  <c r="AI114" i="52"/>
  <c r="AM114" i="52"/>
  <c r="AO114" i="52"/>
  <c r="AK115" i="52"/>
  <c r="AI115" i="52"/>
  <c r="AM115" i="52"/>
  <c r="AO115" i="52"/>
  <c r="AK118" i="52"/>
  <c r="AI118" i="52"/>
  <c r="AM118" i="52"/>
  <c r="AO118" i="52"/>
  <c r="AK119" i="52"/>
  <c r="AI119" i="52"/>
  <c r="AM119" i="52"/>
  <c r="AO119" i="52"/>
  <c r="AK120" i="52"/>
  <c r="AI120" i="52"/>
  <c r="AM120" i="52"/>
  <c r="AO120" i="52"/>
  <c r="AK121" i="52"/>
  <c r="AI121" i="52"/>
  <c r="AM121" i="52"/>
  <c r="AO121" i="52"/>
  <c r="AK122" i="52"/>
  <c r="AI122" i="52"/>
  <c r="AM122" i="52"/>
  <c r="AO122" i="52"/>
  <c r="AK123" i="52"/>
  <c r="AI123" i="52"/>
  <c r="AM123" i="52"/>
  <c r="AO123" i="52"/>
  <c r="AK124" i="52"/>
  <c r="AI124" i="52"/>
  <c r="AM124" i="52"/>
  <c r="AO124" i="52"/>
  <c r="AK125" i="52"/>
  <c r="AI125" i="52"/>
  <c r="AM125" i="52"/>
  <c r="AO125" i="52"/>
  <c r="AK126" i="52"/>
  <c r="AI126" i="52"/>
  <c r="AM126" i="52"/>
  <c r="AO126" i="52"/>
  <c r="AK127" i="52"/>
  <c r="AI127" i="52"/>
  <c r="AM127" i="52"/>
  <c r="AO127" i="52"/>
  <c r="AK128" i="52"/>
  <c r="AI128" i="52"/>
  <c r="AM128" i="52"/>
  <c r="AO128" i="52"/>
  <c r="AK129" i="52"/>
  <c r="AI129" i="52"/>
  <c r="AM129" i="52"/>
  <c r="AO129" i="52"/>
  <c r="AK132" i="52"/>
  <c r="AI132" i="52"/>
  <c r="AL132" i="52" s="1"/>
  <c r="AM132" i="52"/>
  <c r="AO132" i="52"/>
  <c r="AK133" i="52"/>
  <c r="AI133" i="52"/>
  <c r="AM133" i="52"/>
  <c r="AO133" i="52"/>
  <c r="AK134" i="52"/>
  <c r="AI134" i="52"/>
  <c r="AM134" i="52"/>
  <c r="AO134" i="52"/>
  <c r="AK135" i="52"/>
  <c r="AI135" i="52"/>
  <c r="AM135" i="52"/>
  <c r="AO135" i="52"/>
  <c r="AK136" i="52"/>
  <c r="AI136" i="52"/>
  <c r="AM136" i="52"/>
  <c r="AO136" i="52"/>
  <c r="AK137" i="52"/>
  <c r="AI137" i="52"/>
  <c r="AM137" i="52"/>
  <c r="AO137" i="52"/>
  <c r="AC147" i="52"/>
  <c r="AD147" i="52"/>
  <c r="C82" i="52"/>
  <c r="E84" i="52"/>
  <c r="C84" i="52"/>
  <c r="D84" i="52"/>
  <c r="E85" i="52"/>
  <c r="E86" i="52"/>
  <c r="C86" i="52"/>
  <c r="E87" i="52"/>
  <c r="D87" i="52"/>
  <c r="Z146" i="52"/>
  <c r="C146" i="52"/>
  <c r="C145" i="52"/>
  <c r="C144" i="52"/>
  <c r="C143" i="52"/>
  <c r="Z142" i="52"/>
  <c r="T141" i="52"/>
  <c r="C142" i="52"/>
  <c r="C141" i="52"/>
  <c r="Z138" i="52"/>
  <c r="C138" i="52"/>
  <c r="Z137" i="52"/>
  <c r="M137" i="52"/>
  <c r="C137" i="52"/>
  <c r="Z136" i="52"/>
  <c r="T136" i="52"/>
  <c r="M136" i="52"/>
  <c r="C136" i="52"/>
  <c r="M135" i="52"/>
  <c r="C135" i="52"/>
  <c r="D357" i="3"/>
  <c r="D372" i="3" s="1"/>
  <c r="AJ134" i="52"/>
  <c r="Z134" i="52"/>
  <c r="C134" i="52"/>
  <c r="Z133" i="52"/>
  <c r="T133" i="52"/>
  <c r="M133" i="52"/>
  <c r="C133" i="52"/>
  <c r="AJ132" i="52"/>
  <c r="Z132" i="52"/>
  <c r="T132" i="52"/>
  <c r="M132" i="52"/>
  <c r="C132" i="52"/>
  <c r="C131" i="52"/>
  <c r="C130" i="52"/>
  <c r="Z129" i="52"/>
  <c r="T129" i="52"/>
  <c r="M129" i="52"/>
  <c r="C129" i="52"/>
  <c r="T128" i="52"/>
  <c r="M128" i="52"/>
  <c r="C128" i="52"/>
  <c r="Z127" i="52"/>
  <c r="T127" i="52"/>
  <c r="M127" i="52"/>
  <c r="C127" i="52"/>
  <c r="T126" i="52"/>
  <c r="M126" i="52"/>
  <c r="T125" i="52"/>
  <c r="M125" i="52"/>
  <c r="T124" i="52"/>
  <c r="M124" i="52"/>
  <c r="C124" i="52"/>
  <c r="M123" i="52"/>
  <c r="C123" i="52"/>
  <c r="Z122" i="52"/>
  <c r="T122" i="52"/>
  <c r="M122" i="52"/>
  <c r="C122" i="52"/>
  <c r="T121" i="52"/>
  <c r="M121" i="52"/>
  <c r="C121" i="52"/>
  <c r="Z120" i="52"/>
  <c r="T120" i="52"/>
  <c r="M120" i="52"/>
  <c r="C120" i="52"/>
  <c r="Z119" i="52"/>
  <c r="T119" i="52"/>
  <c r="M119" i="52"/>
  <c r="C119" i="52"/>
  <c r="Z118" i="52"/>
  <c r="C118" i="52"/>
  <c r="C117" i="52"/>
  <c r="Z116" i="52"/>
  <c r="C116" i="52"/>
  <c r="Z115" i="52"/>
  <c r="M115" i="52"/>
  <c r="C115" i="52"/>
  <c r="Z114" i="52"/>
  <c r="M114" i="52"/>
  <c r="C114" i="52"/>
  <c r="Z113" i="52"/>
  <c r="M113" i="52"/>
  <c r="C113" i="52"/>
  <c r="T112" i="52"/>
  <c r="M112" i="52"/>
  <c r="C112" i="52"/>
  <c r="Z111" i="52"/>
  <c r="T111" i="52"/>
  <c r="M111" i="52"/>
  <c r="C111" i="52"/>
  <c r="Z110" i="52"/>
  <c r="C110" i="52"/>
  <c r="M74" i="52"/>
  <c r="B74" i="52"/>
  <c r="M73" i="52"/>
  <c r="B73" i="52"/>
  <c r="M72" i="52"/>
  <c r="B72" i="52"/>
  <c r="M71" i="52"/>
  <c r="B71" i="52"/>
  <c r="B70" i="52"/>
  <c r="M69" i="52"/>
  <c r="B69" i="52"/>
  <c r="M54" i="52"/>
  <c r="M55" i="52"/>
  <c r="O55" i="52" s="1"/>
  <c r="M56" i="52"/>
  <c r="O56" i="52" s="1"/>
  <c r="M57" i="52"/>
  <c r="O57" i="52" s="1"/>
  <c r="M58" i="52"/>
  <c r="O58" i="52" s="1"/>
  <c r="M59" i="52"/>
  <c r="O59" i="52" s="1"/>
  <c r="I59" i="52"/>
  <c r="F59" i="52"/>
  <c r="G59" i="52"/>
  <c r="I58" i="52"/>
  <c r="F58" i="52"/>
  <c r="G58" i="52" s="1"/>
  <c r="I57" i="52"/>
  <c r="F57" i="52"/>
  <c r="G57" i="52"/>
  <c r="I56" i="52"/>
  <c r="F56" i="52"/>
  <c r="G56" i="52" s="1"/>
  <c r="I55" i="52"/>
  <c r="F55" i="52"/>
  <c r="G55" i="52" s="1"/>
  <c r="I54" i="52"/>
  <c r="F54" i="52"/>
  <c r="G54" i="52" s="1"/>
  <c r="L47" i="52"/>
  <c r="AA30" i="52"/>
  <c r="AA34" i="52"/>
  <c r="AA35" i="52" s="1"/>
  <c r="D34" i="52"/>
  <c r="D33" i="52"/>
  <c r="I32" i="52"/>
  <c r="D32" i="52"/>
  <c r="D31" i="52"/>
  <c r="I30" i="52"/>
  <c r="D30" i="52"/>
  <c r="D29" i="52"/>
  <c r="X12" i="52"/>
  <c r="X22" i="52" s="1"/>
  <c r="X24" i="52" s="1"/>
  <c r="W12" i="52"/>
  <c r="V12" i="52"/>
  <c r="V22" i="52" s="1"/>
  <c r="V24" i="52"/>
  <c r="U12" i="52"/>
  <c r="U22" i="52"/>
  <c r="U24" i="52" s="1"/>
  <c r="T12" i="52"/>
  <c r="S12" i="52"/>
  <c r="S14" i="52" s="1"/>
  <c r="S16" i="52" s="1"/>
  <c r="S22" i="52"/>
  <c r="X14" i="52"/>
  <c r="V14" i="52"/>
  <c r="U14" i="52"/>
  <c r="L21" i="52"/>
  <c r="K21" i="52"/>
  <c r="J21" i="52"/>
  <c r="I21" i="52"/>
  <c r="L20" i="52"/>
  <c r="K20" i="52"/>
  <c r="J20" i="52"/>
  <c r="I20" i="52"/>
  <c r="L19" i="52"/>
  <c r="K19" i="52"/>
  <c r="J19" i="52"/>
  <c r="I19" i="52"/>
  <c r="L18" i="52"/>
  <c r="K18" i="52"/>
  <c r="J18" i="52"/>
  <c r="I18" i="52"/>
  <c r="L17" i="52"/>
  <c r="K17" i="52"/>
  <c r="J17" i="52"/>
  <c r="I17" i="52"/>
  <c r="L16" i="52"/>
  <c r="K16" i="52"/>
  <c r="J16" i="52"/>
  <c r="I16" i="52"/>
  <c r="D10" i="52"/>
  <c r="E94" i="50"/>
  <c r="D55" i="50"/>
  <c r="F95" i="50"/>
  <c r="G95" i="50" s="1"/>
  <c r="E95" i="50"/>
  <c r="C42" i="50"/>
  <c r="M42" i="50" s="1"/>
  <c r="D56" i="50"/>
  <c r="D96" i="50" s="1"/>
  <c r="H96" i="50" s="1"/>
  <c r="F96" i="50"/>
  <c r="E96" i="50"/>
  <c r="G96" i="50"/>
  <c r="C43" i="50"/>
  <c r="C96" i="50"/>
  <c r="D57" i="50"/>
  <c r="F97" i="50"/>
  <c r="E97" i="50"/>
  <c r="C44" i="50"/>
  <c r="C97" i="50"/>
  <c r="D58" i="50"/>
  <c r="F98" i="50"/>
  <c r="G98" i="50" s="1"/>
  <c r="E98" i="50"/>
  <c r="C45" i="50"/>
  <c r="D59" i="50"/>
  <c r="F99" i="50"/>
  <c r="G99" i="50" s="1"/>
  <c r="E99" i="50"/>
  <c r="C46" i="50"/>
  <c r="C99" i="50" s="1"/>
  <c r="D179" i="50"/>
  <c r="K55" i="50"/>
  <c r="L55" i="50" s="1"/>
  <c r="D70" i="50" s="1"/>
  <c r="K56" i="50"/>
  <c r="L56" i="50" s="1"/>
  <c r="D71" i="50" s="1"/>
  <c r="K57" i="50"/>
  <c r="L57" i="50" s="1"/>
  <c r="D72" i="50" s="1"/>
  <c r="K58" i="50"/>
  <c r="L58" i="50" s="1"/>
  <c r="D73" i="50" s="1"/>
  <c r="K59" i="50"/>
  <c r="L59" i="50" s="1"/>
  <c r="D74" i="50" s="1"/>
  <c r="G16" i="50"/>
  <c r="G17" i="50"/>
  <c r="H17" i="50"/>
  <c r="G18" i="50"/>
  <c r="H18" i="50" s="1"/>
  <c r="G19" i="50"/>
  <c r="H19" i="50"/>
  <c r="G20" i="50"/>
  <c r="H20" i="50"/>
  <c r="G21" i="50"/>
  <c r="H21" i="50"/>
  <c r="C30" i="50"/>
  <c r="H30" i="50" s="1"/>
  <c r="C31" i="50"/>
  <c r="L31" i="50" s="1"/>
  <c r="H31" i="50"/>
  <c r="C32" i="50"/>
  <c r="I32" i="50" s="1"/>
  <c r="H32" i="50"/>
  <c r="C33" i="50"/>
  <c r="L33" i="50" s="1"/>
  <c r="C34" i="50"/>
  <c r="H34" i="50"/>
  <c r="J35" i="50"/>
  <c r="L32" i="50"/>
  <c r="L34" i="50"/>
  <c r="L70" i="50"/>
  <c r="L71" i="50"/>
  <c r="M71" i="50" s="1"/>
  <c r="L72" i="50"/>
  <c r="L73" i="50"/>
  <c r="M73" i="50" s="1"/>
  <c r="L74" i="50"/>
  <c r="M74" i="50" s="1"/>
  <c r="M43" i="50"/>
  <c r="M44" i="50"/>
  <c r="M46" i="50"/>
  <c r="H70" i="50"/>
  <c r="H71" i="50"/>
  <c r="H72" i="50"/>
  <c r="H73" i="50"/>
  <c r="H74" i="50"/>
  <c r="AA110" i="50"/>
  <c r="Y110" i="50"/>
  <c r="AB110" i="50" s="1"/>
  <c r="AC110" i="50"/>
  <c r="AD110" i="50"/>
  <c r="AA111" i="50"/>
  <c r="Y111" i="50"/>
  <c r="AB111" i="50" s="1"/>
  <c r="AC111" i="50"/>
  <c r="AD111" i="50"/>
  <c r="AA112" i="50"/>
  <c r="Y112" i="50"/>
  <c r="AB112" i="50" s="1"/>
  <c r="AC112" i="50"/>
  <c r="AD112" i="50"/>
  <c r="AA113" i="50"/>
  <c r="Y113" i="50"/>
  <c r="AB113" i="50"/>
  <c r="AC113" i="50"/>
  <c r="AD113" i="50"/>
  <c r="AA114" i="50"/>
  <c r="Y114" i="50"/>
  <c r="AC114" i="50"/>
  <c r="AD114" i="50"/>
  <c r="AA115" i="50"/>
  <c r="Y115" i="50"/>
  <c r="Z115" i="50" s="1"/>
  <c r="AB115" i="50"/>
  <c r="AC115" i="50"/>
  <c r="AD115" i="50"/>
  <c r="AA116" i="50"/>
  <c r="Y116" i="50"/>
  <c r="AB116" i="50" s="1"/>
  <c r="AC116" i="50"/>
  <c r="AE116" i="50" s="1"/>
  <c r="AF116" i="50" s="1"/>
  <c r="AD116" i="50"/>
  <c r="AA117" i="50"/>
  <c r="Y117" i="50"/>
  <c r="AB117" i="50" s="1"/>
  <c r="AC117" i="50"/>
  <c r="AD117" i="50"/>
  <c r="AA118" i="50"/>
  <c r="Y118" i="50"/>
  <c r="AC118" i="50"/>
  <c r="AD118" i="50"/>
  <c r="AA119" i="50"/>
  <c r="Y119" i="50"/>
  <c r="AB119" i="50" s="1"/>
  <c r="AC119" i="50"/>
  <c r="AD119" i="50"/>
  <c r="AA120" i="50"/>
  <c r="Y120" i="50"/>
  <c r="AB120" i="50" s="1"/>
  <c r="AC120" i="50"/>
  <c r="AD120" i="50"/>
  <c r="AA121" i="50"/>
  <c r="Y121" i="50"/>
  <c r="AB121" i="50"/>
  <c r="AC121" i="50"/>
  <c r="AD121" i="50"/>
  <c r="AA122" i="50"/>
  <c r="Y122" i="50"/>
  <c r="AB122" i="50" s="1"/>
  <c r="AC122" i="50"/>
  <c r="AD122" i="50"/>
  <c r="AA123" i="50"/>
  <c r="Y123" i="50"/>
  <c r="AB123" i="50"/>
  <c r="AC123" i="50"/>
  <c r="AD123" i="50"/>
  <c r="AA124" i="50"/>
  <c r="Y124" i="50"/>
  <c r="AB124" i="50" s="1"/>
  <c r="AC124" i="50"/>
  <c r="AE124" i="50" s="1"/>
  <c r="AF124" i="50" s="1"/>
  <c r="AD124" i="50"/>
  <c r="AA127" i="50"/>
  <c r="Y127" i="50"/>
  <c r="AB127" i="50" s="1"/>
  <c r="AC127" i="50"/>
  <c r="AD127" i="50"/>
  <c r="AA128" i="50"/>
  <c r="Y128" i="50"/>
  <c r="AB128" i="50" s="1"/>
  <c r="AC128" i="50"/>
  <c r="AD128" i="50"/>
  <c r="AA129" i="50"/>
  <c r="Y129" i="50"/>
  <c r="AB129" i="50" s="1"/>
  <c r="AC129" i="50"/>
  <c r="AD129" i="50"/>
  <c r="AA130" i="50"/>
  <c r="Y130" i="50"/>
  <c r="AB130" i="50" s="1"/>
  <c r="AC130" i="50"/>
  <c r="AD130" i="50"/>
  <c r="AA131" i="50"/>
  <c r="Y131" i="50"/>
  <c r="AB131" i="50"/>
  <c r="AC131" i="50"/>
  <c r="AD131" i="50"/>
  <c r="AA132" i="50"/>
  <c r="Y132" i="50"/>
  <c r="AC132" i="50"/>
  <c r="AD132" i="50"/>
  <c r="AA133" i="50"/>
  <c r="Y133" i="50"/>
  <c r="Z133" i="50" s="1"/>
  <c r="AB133" i="50"/>
  <c r="AC133" i="50"/>
  <c r="AD133" i="50"/>
  <c r="AA134" i="50"/>
  <c r="Y134" i="50"/>
  <c r="AB134" i="50" s="1"/>
  <c r="AC134" i="50"/>
  <c r="AE134" i="50" s="1"/>
  <c r="AF134" i="50" s="1"/>
  <c r="AD134" i="50"/>
  <c r="AA135" i="50"/>
  <c r="Y135" i="50"/>
  <c r="Z135" i="50" s="1"/>
  <c r="AC135" i="50"/>
  <c r="AD135" i="50"/>
  <c r="AA136" i="50"/>
  <c r="Y136" i="50"/>
  <c r="AB136" i="50" s="1"/>
  <c r="AC136" i="50"/>
  <c r="AD136" i="50"/>
  <c r="AA137" i="50"/>
  <c r="Y137" i="50"/>
  <c r="AB137" i="50" s="1"/>
  <c r="AC137" i="50"/>
  <c r="AD137" i="50"/>
  <c r="AA138" i="50"/>
  <c r="Y138" i="50"/>
  <c r="AB138" i="50" s="1"/>
  <c r="AC138" i="50"/>
  <c r="AD138" i="50"/>
  <c r="AA141" i="50"/>
  <c r="Y141" i="50"/>
  <c r="AB141" i="50"/>
  <c r="AC141" i="50"/>
  <c r="AD141" i="50"/>
  <c r="AA142" i="50"/>
  <c r="Y142" i="50"/>
  <c r="AC142" i="50"/>
  <c r="AD142" i="50"/>
  <c r="AA143" i="50"/>
  <c r="Y143" i="50"/>
  <c r="Z143" i="50" s="1"/>
  <c r="AB143" i="50"/>
  <c r="AC143" i="50"/>
  <c r="AD143" i="50"/>
  <c r="AA144" i="50"/>
  <c r="Y144" i="50"/>
  <c r="AB144" i="50" s="1"/>
  <c r="AC144" i="50"/>
  <c r="AE144" i="50" s="1"/>
  <c r="AF144" i="50" s="1"/>
  <c r="AD144" i="50"/>
  <c r="AA145" i="50"/>
  <c r="Y145" i="50"/>
  <c r="AB145" i="50" s="1"/>
  <c r="AC145" i="50"/>
  <c r="AD145" i="50"/>
  <c r="AA146" i="50"/>
  <c r="Y146" i="50"/>
  <c r="AC146" i="50"/>
  <c r="AD146" i="50"/>
  <c r="AA147" i="50"/>
  <c r="AO142" i="50"/>
  <c r="AN143" i="50"/>
  <c r="AK110" i="50"/>
  <c r="AI110" i="50"/>
  <c r="AM110" i="50"/>
  <c r="AO110" i="50"/>
  <c r="AK111" i="50"/>
  <c r="AI111" i="50"/>
  <c r="AM111" i="50"/>
  <c r="AO111" i="50"/>
  <c r="AK112" i="50"/>
  <c r="AI112" i="50"/>
  <c r="AM112" i="50"/>
  <c r="AO112" i="50"/>
  <c r="AK113" i="50"/>
  <c r="AI113" i="50"/>
  <c r="AL113" i="50" s="1"/>
  <c r="AP113" i="50" s="1"/>
  <c r="AQ113" i="50" s="1"/>
  <c r="AM113" i="50"/>
  <c r="AO113" i="50"/>
  <c r="AK114" i="50"/>
  <c r="AI114" i="50"/>
  <c r="AM114" i="50"/>
  <c r="AO114" i="50"/>
  <c r="AK115" i="50"/>
  <c r="AI115" i="50"/>
  <c r="AL115" i="50" s="1"/>
  <c r="AM115" i="50"/>
  <c r="AO115" i="50"/>
  <c r="AK118" i="50"/>
  <c r="AI118" i="50"/>
  <c r="AM118" i="50"/>
  <c r="AO118" i="50"/>
  <c r="AK119" i="50"/>
  <c r="AI119" i="50"/>
  <c r="AL119" i="50" s="1"/>
  <c r="AM119" i="50"/>
  <c r="AO119" i="50"/>
  <c r="AK120" i="50"/>
  <c r="AI120" i="50"/>
  <c r="AL120" i="50" s="1"/>
  <c r="AM120" i="50"/>
  <c r="AO120" i="50"/>
  <c r="AK121" i="50"/>
  <c r="AI121" i="50"/>
  <c r="AL121" i="50"/>
  <c r="AM121" i="50"/>
  <c r="AO121" i="50"/>
  <c r="AK122" i="50"/>
  <c r="AI122" i="50"/>
  <c r="AL122" i="50"/>
  <c r="AM122" i="50"/>
  <c r="AO122" i="50"/>
  <c r="AK123" i="50"/>
  <c r="AI123" i="50"/>
  <c r="AL123" i="50" s="1"/>
  <c r="AM123" i="50"/>
  <c r="AO123" i="50"/>
  <c r="AK124" i="50"/>
  <c r="AI124" i="50"/>
  <c r="AL124" i="50" s="1"/>
  <c r="AM124" i="50"/>
  <c r="AO124" i="50"/>
  <c r="AK125" i="50"/>
  <c r="AI125" i="50"/>
  <c r="AM125" i="50"/>
  <c r="AO125" i="50"/>
  <c r="AK126" i="50"/>
  <c r="AI126" i="50"/>
  <c r="AJ126" i="50" s="1"/>
  <c r="AL126" i="50"/>
  <c r="AM126" i="50"/>
  <c r="AO126" i="50"/>
  <c r="AK127" i="50"/>
  <c r="AI127" i="50"/>
  <c r="AL127" i="50"/>
  <c r="AM127" i="50"/>
  <c r="AO127" i="50"/>
  <c r="AK128" i="50"/>
  <c r="AI128" i="50"/>
  <c r="AJ128" i="50" s="1"/>
  <c r="AM128" i="50"/>
  <c r="AO128" i="50"/>
  <c r="AK129" i="50"/>
  <c r="AI129" i="50"/>
  <c r="AL129" i="50" s="1"/>
  <c r="AM129" i="50"/>
  <c r="AO129" i="50"/>
  <c r="AK132" i="50"/>
  <c r="AI132" i="50"/>
  <c r="AM132" i="50"/>
  <c r="AO132" i="50"/>
  <c r="AK133" i="50"/>
  <c r="AI133" i="50"/>
  <c r="AJ133" i="50" s="1"/>
  <c r="AL133" i="50"/>
  <c r="AM133" i="50"/>
  <c r="AO133" i="50"/>
  <c r="AK134" i="50"/>
  <c r="AI134" i="50"/>
  <c r="AM134" i="50"/>
  <c r="AO134" i="50"/>
  <c r="AK135" i="50"/>
  <c r="AI135" i="50"/>
  <c r="AJ135" i="50" s="1"/>
  <c r="AM135" i="50"/>
  <c r="AO135" i="50"/>
  <c r="AK136" i="50"/>
  <c r="AI136" i="50"/>
  <c r="AM136" i="50"/>
  <c r="AO136" i="50"/>
  <c r="AK137" i="50"/>
  <c r="AI137" i="50"/>
  <c r="AL137" i="50" s="1"/>
  <c r="AM137" i="50"/>
  <c r="AO137" i="50"/>
  <c r="AC147" i="50"/>
  <c r="AD147" i="50"/>
  <c r="E83" i="50"/>
  <c r="C83" i="50"/>
  <c r="E84" i="50"/>
  <c r="C84" i="50"/>
  <c r="E85" i="50"/>
  <c r="C85" i="50"/>
  <c r="E86" i="50"/>
  <c r="E87" i="50"/>
  <c r="F87" i="50" s="1"/>
  <c r="C87" i="50"/>
  <c r="C146" i="50"/>
  <c r="C145" i="50"/>
  <c r="Z144" i="50"/>
  <c r="C144" i="50"/>
  <c r="C143" i="50"/>
  <c r="C142" i="50"/>
  <c r="Z141" i="50"/>
  <c r="C141" i="50"/>
  <c r="Z138" i="50"/>
  <c r="C138" i="50"/>
  <c r="AJ137" i="50"/>
  <c r="Z137" i="50"/>
  <c r="T137" i="50"/>
  <c r="M137" i="50"/>
  <c r="C137" i="50"/>
  <c r="M136" i="50"/>
  <c r="C136" i="50"/>
  <c r="T135" i="50"/>
  <c r="M135" i="50"/>
  <c r="C135" i="50"/>
  <c r="Z134" i="50"/>
  <c r="M134" i="50"/>
  <c r="C134" i="50"/>
  <c r="T133" i="50"/>
  <c r="M133" i="50"/>
  <c r="C133" i="50"/>
  <c r="M132" i="50"/>
  <c r="C132" i="50"/>
  <c r="Z131" i="50"/>
  <c r="C131" i="50"/>
  <c r="C130" i="50"/>
  <c r="AJ129" i="50"/>
  <c r="Z129" i="50"/>
  <c r="T129" i="50"/>
  <c r="M129" i="50"/>
  <c r="C129" i="50"/>
  <c r="Z128" i="50"/>
  <c r="T128" i="50"/>
  <c r="M128" i="50"/>
  <c r="C128" i="50"/>
  <c r="AJ127" i="50"/>
  <c r="T127" i="50"/>
  <c r="M127" i="50"/>
  <c r="C127" i="50"/>
  <c r="T126" i="50"/>
  <c r="M126" i="50"/>
  <c r="M125" i="50"/>
  <c r="Z124" i="50"/>
  <c r="M124" i="50"/>
  <c r="C124" i="50"/>
  <c r="Z123" i="50"/>
  <c r="T123" i="50"/>
  <c r="M123" i="50"/>
  <c r="C123" i="50"/>
  <c r="AJ122" i="50"/>
  <c r="Z122" i="50"/>
  <c r="M122" i="50"/>
  <c r="C122" i="50"/>
  <c r="AJ121" i="50"/>
  <c r="Z121" i="50"/>
  <c r="T121" i="50"/>
  <c r="M121" i="50"/>
  <c r="C121" i="50"/>
  <c r="AJ120" i="50"/>
  <c r="M120" i="50"/>
  <c r="C120" i="50"/>
  <c r="Z119" i="50"/>
  <c r="T119" i="50"/>
  <c r="M119" i="50"/>
  <c r="C119" i="50"/>
  <c r="D356" i="3"/>
  <c r="D371" i="3" s="1"/>
  <c r="C118" i="50"/>
  <c r="Z117" i="50"/>
  <c r="C117" i="50"/>
  <c r="Z116" i="50"/>
  <c r="C116" i="50"/>
  <c r="AJ115" i="50"/>
  <c r="T115" i="50"/>
  <c r="M115" i="50"/>
  <c r="C115" i="50"/>
  <c r="T114" i="50"/>
  <c r="M114" i="50"/>
  <c r="C114" i="50"/>
  <c r="AJ113" i="50"/>
  <c r="Z113" i="50"/>
  <c r="T113" i="50"/>
  <c r="M113" i="50"/>
  <c r="C113" i="50"/>
  <c r="Z112" i="50"/>
  <c r="T112" i="50"/>
  <c r="M112" i="50"/>
  <c r="C112" i="50"/>
  <c r="Z111" i="50"/>
  <c r="C111" i="50"/>
  <c r="Z110" i="50"/>
  <c r="M110" i="50"/>
  <c r="C110" i="50"/>
  <c r="B74" i="50"/>
  <c r="B73" i="50"/>
  <c r="M72" i="50"/>
  <c r="B72" i="50"/>
  <c r="B71" i="50"/>
  <c r="M70" i="50"/>
  <c r="B70" i="50"/>
  <c r="B69" i="50"/>
  <c r="M54" i="50"/>
  <c r="M55" i="50"/>
  <c r="O55" i="50" s="1"/>
  <c r="M56" i="50"/>
  <c r="O56" i="50"/>
  <c r="M57" i="50"/>
  <c r="O57" i="50"/>
  <c r="M58" i="50"/>
  <c r="O58" i="50"/>
  <c r="M59" i="50"/>
  <c r="O59" i="50" s="1"/>
  <c r="M61" i="50"/>
  <c r="I59" i="50"/>
  <c r="F59" i="50"/>
  <c r="G59" i="50" s="1"/>
  <c r="I58" i="50"/>
  <c r="F58" i="50"/>
  <c r="G58" i="50"/>
  <c r="I57" i="50"/>
  <c r="F57" i="50"/>
  <c r="G57" i="50" s="1"/>
  <c r="I56" i="50"/>
  <c r="F56" i="50"/>
  <c r="G56" i="50" s="1"/>
  <c r="I55" i="50"/>
  <c r="F55" i="50"/>
  <c r="G55" i="50" s="1"/>
  <c r="F54" i="50"/>
  <c r="G54" i="50" s="1"/>
  <c r="L47" i="50"/>
  <c r="K47" i="50"/>
  <c r="I47" i="50"/>
  <c r="H47" i="50"/>
  <c r="G47" i="50"/>
  <c r="F47" i="50"/>
  <c r="E47" i="50"/>
  <c r="D47" i="50"/>
  <c r="AA34" i="50"/>
  <c r="AA35" i="50" s="1"/>
  <c r="I34" i="50"/>
  <c r="D34" i="50"/>
  <c r="I33" i="50"/>
  <c r="D33" i="50"/>
  <c r="D32" i="50"/>
  <c r="I31" i="50"/>
  <c r="D31" i="50"/>
  <c r="D30" i="50"/>
  <c r="D29" i="50"/>
  <c r="X12" i="50"/>
  <c r="W12" i="50"/>
  <c r="W14" i="50" s="1"/>
  <c r="W22" i="50"/>
  <c r="W24" i="50" s="1"/>
  <c r="V12" i="50"/>
  <c r="U12" i="50"/>
  <c r="U22" i="50"/>
  <c r="U24" i="50" s="1"/>
  <c r="T12" i="50"/>
  <c r="S12" i="50"/>
  <c r="S22" i="50" s="1"/>
  <c r="S14" i="50"/>
  <c r="S16" i="50" s="1"/>
  <c r="S18" i="50" s="1"/>
  <c r="U14" i="50"/>
  <c r="L21" i="50"/>
  <c r="K21" i="50"/>
  <c r="J21" i="50"/>
  <c r="I21" i="50"/>
  <c r="L20" i="50"/>
  <c r="K20" i="50"/>
  <c r="J20" i="50"/>
  <c r="I20" i="50"/>
  <c r="L19" i="50"/>
  <c r="K19" i="50"/>
  <c r="J19" i="50"/>
  <c r="I19" i="50"/>
  <c r="L18" i="50"/>
  <c r="K18" i="50"/>
  <c r="J18" i="50"/>
  <c r="I18" i="50"/>
  <c r="L17" i="50"/>
  <c r="K17" i="50"/>
  <c r="J17" i="50"/>
  <c r="I17" i="50"/>
  <c r="L16" i="50"/>
  <c r="K16" i="50"/>
  <c r="J16" i="50"/>
  <c r="I16" i="50"/>
  <c r="D10" i="50"/>
  <c r="D94" i="59"/>
  <c r="F94" i="59"/>
  <c r="E94" i="59"/>
  <c r="C94" i="59"/>
  <c r="D55" i="59"/>
  <c r="D95" i="59"/>
  <c r="F95" i="59"/>
  <c r="E95" i="59"/>
  <c r="C42" i="59"/>
  <c r="E47" i="59" s="1"/>
  <c r="D56" i="59"/>
  <c r="D84" i="59" s="1"/>
  <c r="D96" i="59"/>
  <c r="F96" i="59"/>
  <c r="E96" i="59"/>
  <c r="C43" i="59"/>
  <c r="C96" i="59" s="1"/>
  <c r="D57" i="59"/>
  <c r="D97" i="59"/>
  <c r="F97" i="59"/>
  <c r="E97" i="59"/>
  <c r="C44" i="59"/>
  <c r="F47" i="59" s="1"/>
  <c r="D58" i="59"/>
  <c r="D98" i="59"/>
  <c r="F98" i="59"/>
  <c r="E98" i="59"/>
  <c r="C45" i="59"/>
  <c r="D59" i="59"/>
  <c r="D99" i="59"/>
  <c r="F99" i="59"/>
  <c r="E99" i="59"/>
  <c r="C46" i="59"/>
  <c r="D179" i="59"/>
  <c r="K55" i="59"/>
  <c r="L55" i="59" s="1"/>
  <c r="K56" i="59"/>
  <c r="L56" i="59" s="1"/>
  <c r="D71" i="59" s="1"/>
  <c r="K57" i="59"/>
  <c r="L57" i="59" s="1"/>
  <c r="D72" i="59" s="1"/>
  <c r="K58" i="59"/>
  <c r="L58" i="59" s="1"/>
  <c r="K59" i="59"/>
  <c r="L59" i="59" s="1"/>
  <c r="D74" i="59" s="1"/>
  <c r="G17" i="59"/>
  <c r="H17" i="59" s="1"/>
  <c r="G18" i="59"/>
  <c r="H18" i="59"/>
  <c r="G19" i="59"/>
  <c r="H19" i="59" s="1"/>
  <c r="G20" i="59"/>
  <c r="H20" i="59" s="1"/>
  <c r="G21" i="59"/>
  <c r="H21" i="59"/>
  <c r="C30" i="59"/>
  <c r="C31" i="59"/>
  <c r="C32" i="59"/>
  <c r="C33" i="59"/>
  <c r="C34" i="59"/>
  <c r="J35" i="59"/>
  <c r="L70" i="59"/>
  <c r="L71" i="59"/>
  <c r="L72" i="59"/>
  <c r="L73" i="59"/>
  <c r="M73" i="59" s="1"/>
  <c r="L74" i="59"/>
  <c r="M43" i="59"/>
  <c r="M45" i="59"/>
  <c r="D73" i="59"/>
  <c r="H70" i="59"/>
  <c r="H71" i="59"/>
  <c r="H72" i="59"/>
  <c r="H73" i="59"/>
  <c r="H74" i="59"/>
  <c r="AA110" i="59"/>
  <c r="Y110" i="59"/>
  <c r="AB110" i="59" s="1"/>
  <c r="AC110" i="59"/>
  <c r="AD110" i="59"/>
  <c r="AA111" i="59"/>
  <c r="Y111" i="59"/>
  <c r="AC111" i="59"/>
  <c r="AD111" i="59"/>
  <c r="AA112" i="59"/>
  <c r="Y112" i="59"/>
  <c r="Z112" i="59" s="1"/>
  <c r="AC112" i="59"/>
  <c r="AD112" i="59"/>
  <c r="AA113" i="59"/>
  <c r="Y113" i="59"/>
  <c r="AB113" i="59" s="1"/>
  <c r="AC113" i="59"/>
  <c r="AD113" i="59"/>
  <c r="AA114" i="59"/>
  <c r="Y114" i="59"/>
  <c r="AB114" i="59"/>
  <c r="AC114" i="59"/>
  <c r="AD114" i="59"/>
  <c r="AA115" i="59"/>
  <c r="Y115" i="59"/>
  <c r="AB115" i="59" s="1"/>
  <c r="AE115" i="59" s="1"/>
  <c r="AF115" i="59" s="1"/>
  <c r="AC115" i="59"/>
  <c r="AD115" i="59"/>
  <c r="AA116" i="59"/>
  <c r="Y116" i="59"/>
  <c r="AC116" i="59"/>
  <c r="AD116" i="59"/>
  <c r="AA117" i="59"/>
  <c r="Y117" i="59"/>
  <c r="AC117" i="59"/>
  <c r="AD117" i="59"/>
  <c r="AA118" i="59"/>
  <c r="Y118" i="59"/>
  <c r="AB118" i="59"/>
  <c r="AC118" i="59"/>
  <c r="AD118" i="59"/>
  <c r="AA119" i="59"/>
  <c r="Y119" i="59"/>
  <c r="AB119" i="59" s="1"/>
  <c r="AC119" i="59"/>
  <c r="AD119" i="59"/>
  <c r="AE119" i="59"/>
  <c r="AF119" i="59" s="1"/>
  <c r="AA120" i="59"/>
  <c r="Y120" i="59"/>
  <c r="AB120" i="59" s="1"/>
  <c r="AC120" i="59"/>
  <c r="AD120" i="59"/>
  <c r="AA121" i="59"/>
  <c r="Y121" i="59"/>
  <c r="AC121" i="59"/>
  <c r="AD121" i="59"/>
  <c r="AA122" i="59"/>
  <c r="Y122" i="59"/>
  <c r="AB122" i="59"/>
  <c r="AC122" i="59"/>
  <c r="AD122" i="59"/>
  <c r="AA123" i="59"/>
  <c r="Y123" i="59"/>
  <c r="AB123" i="59" s="1"/>
  <c r="AC123" i="59"/>
  <c r="AD123" i="59"/>
  <c r="AE123" i="59"/>
  <c r="AF123" i="59" s="1"/>
  <c r="AA124" i="59"/>
  <c r="Y124" i="59"/>
  <c r="AB124" i="59"/>
  <c r="AC124" i="59"/>
  <c r="AD124" i="59"/>
  <c r="AA127" i="59"/>
  <c r="Y127" i="59"/>
  <c r="AC127" i="59"/>
  <c r="AD127" i="59"/>
  <c r="AA128" i="59"/>
  <c r="Y128" i="59"/>
  <c r="Z128" i="59" s="1"/>
  <c r="AB128" i="59"/>
  <c r="AC128" i="59"/>
  <c r="AD128" i="59"/>
  <c r="AA129" i="59"/>
  <c r="Y129" i="59"/>
  <c r="AB129" i="59" s="1"/>
  <c r="AC129" i="59"/>
  <c r="AD129" i="59"/>
  <c r="AE129" i="59"/>
  <c r="AF129" i="59" s="1"/>
  <c r="AA130" i="59"/>
  <c r="Y130" i="59"/>
  <c r="AB130" i="59"/>
  <c r="AC130" i="59"/>
  <c r="AD130" i="59"/>
  <c r="AA131" i="59"/>
  <c r="Y131" i="59"/>
  <c r="AB131" i="59" s="1"/>
  <c r="AC131" i="59"/>
  <c r="AD131" i="59"/>
  <c r="AA132" i="59"/>
  <c r="Y132" i="59"/>
  <c r="AC132" i="59"/>
  <c r="AD132" i="59"/>
  <c r="AA133" i="59"/>
  <c r="Y133" i="59"/>
  <c r="AB133" i="59"/>
  <c r="AC133" i="59"/>
  <c r="AD133" i="59"/>
  <c r="AA134" i="59"/>
  <c r="Y134" i="59"/>
  <c r="AB134" i="59"/>
  <c r="AC134" i="59"/>
  <c r="AD134" i="59"/>
  <c r="AA135" i="59"/>
  <c r="Y135" i="59"/>
  <c r="AB135" i="59" s="1"/>
  <c r="AC135" i="59"/>
  <c r="AD135" i="59"/>
  <c r="AA136" i="59"/>
  <c r="Y136" i="59"/>
  <c r="AB136" i="59" s="1"/>
  <c r="AC136" i="59"/>
  <c r="AD136" i="59"/>
  <c r="AA137" i="59"/>
  <c r="Y137" i="59"/>
  <c r="AC137" i="59"/>
  <c r="AD137" i="59"/>
  <c r="AA138" i="59"/>
  <c r="Y138" i="59"/>
  <c r="Z138" i="59" s="1"/>
  <c r="AB138" i="59"/>
  <c r="AC138" i="59"/>
  <c r="AD138" i="59"/>
  <c r="AA141" i="59"/>
  <c r="Y141" i="59"/>
  <c r="AB141" i="59" s="1"/>
  <c r="AC141" i="59"/>
  <c r="AE141" i="59" s="1"/>
  <c r="AF141" i="59" s="1"/>
  <c r="AD141" i="59"/>
  <c r="AA142" i="59"/>
  <c r="Y142" i="59"/>
  <c r="AC142" i="59"/>
  <c r="AD142" i="59"/>
  <c r="AA143" i="59"/>
  <c r="Y143" i="59"/>
  <c r="AC143" i="59"/>
  <c r="AD143" i="59"/>
  <c r="AA144" i="59"/>
  <c r="Y144" i="59"/>
  <c r="Z144" i="59" s="1"/>
  <c r="AC144" i="59"/>
  <c r="AD144" i="59"/>
  <c r="AA145" i="59"/>
  <c r="Y145" i="59"/>
  <c r="AC145" i="59"/>
  <c r="AD145" i="59"/>
  <c r="AA146" i="59"/>
  <c r="Y146" i="59"/>
  <c r="AB146" i="59"/>
  <c r="AC146" i="59"/>
  <c r="AD146" i="59"/>
  <c r="AA147" i="59"/>
  <c r="AO142" i="59"/>
  <c r="AN143" i="59"/>
  <c r="AP141" i="59"/>
  <c r="AK110" i="59"/>
  <c r="AI110" i="59"/>
  <c r="AL110" i="59" s="1"/>
  <c r="AM110" i="59"/>
  <c r="AO110" i="59"/>
  <c r="AK111" i="59"/>
  <c r="AI111" i="59"/>
  <c r="AM111" i="59"/>
  <c r="AO111" i="59"/>
  <c r="AK112" i="59"/>
  <c r="AI112" i="59"/>
  <c r="AJ112" i="59" s="1"/>
  <c r="AM112" i="59"/>
  <c r="AO112" i="59"/>
  <c r="AK113" i="59"/>
  <c r="AI113" i="59"/>
  <c r="AL113" i="59" s="1"/>
  <c r="AM113" i="59"/>
  <c r="AO113" i="59"/>
  <c r="AK114" i="59"/>
  <c r="AI114" i="59"/>
  <c r="AM114" i="59"/>
  <c r="AO114" i="59"/>
  <c r="AK115" i="59"/>
  <c r="AI115" i="59"/>
  <c r="AM115" i="59"/>
  <c r="AO115" i="59"/>
  <c r="AK118" i="59"/>
  <c r="AI118" i="59"/>
  <c r="AL118" i="59" s="1"/>
  <c r="AM118" i="59"/>
  <c r="AO118" i="59"/>
  <c r="AK119" i="59"/>
  <c r="AI119" i="59"/>
  <c r="AL119" i="59" s="1"/>
  <c r="AM119" i="59"/>
  <c r="AP119" i="59" s="1"/>
  <c r="AQ119" i="59" s="1"/>
  <c r="AO119" i="59"/>
  <c r="AK120" i="59"/>
  <c r="AI120" i="59"/>
  <c r="AM120" i="59"/>
  <c r="AO120" i="59"/>
  <c r="AK121" i="59"/>
  <c r="AI121" i="59"/>
  <c r="AM121" i="59"/>
  <c r="AO121" i="59"/>
  <c r="AK122" i="59"/>
  <c r="AI122" i="59"/>
  <c r="AL122" i="59"/>
  <c r="AP122" i="59" s="1"/>
  <c r="AQ122" i="59" s="1"/>
  <c r="AM122" i="59"/>
  <c r="AO122" i="59"/>
  <c r="AK123" i="59"/>
  <c r="AP123" i="59" s="1"/>
  <c r="AQ123" i="59" s="1"/>
  <c r="AI123" i="59"/>
  <c r="AL123" i="59" s="1"/>
  <c r="AM123" i="59"/>
  <c r="AO123" i="59"/>
  <c r="AK124" i="59"/>
  <c r="AI124" i="59"/>
  <c r="AL124" i="59" s="1"/>
  <c r="AM124" i="59"/>
  <c r="AP124" i="59" s="1"/>
  <c r="AO124" i="59"/>
  <c r="AK125" i="59"/>
  <c r="AI125" i="59"/>
  <c r="AM125" i="59"/>
  <c r="AO125" i="59"/>
  <c r="AK126" i="59"/>
  <c r="AI126" i="59"/>
  <c r="AM126" i="59"/>
  <c r="AO126" i="59"/>
  <c r="AK127" i="59"/>
  <c r="AI127" i="59"/>
  <c r="AL127" i="59" s="1"/>
  <c r="AM127" i="59"/>
  <c r="AO127" i="59"/>
  <c r="AP127" i="59" s="1"/>
  <c r="AQ127" i="59" s="1"/>
  <c r="AK128" i="59"/>
  <c r="AI128" i="59"/>
  <c r="AL128" i="59" s="1"/>
  <c r="AM128" i="59"/>
  <c r="AO128" i="59"/>
  <c r="AK129" i="59"/>
  <c r="AI129" i="59"/>
  <c r="AM129" i="59"/>
  <c r="AO129" i="59"/>
  <c r="AK132" i="59"/>
  <c r="AI132" i="59"/>
  <c r="AJ132" i="59" s="1"/>
  <c r="AM132" i="59"/>
  <c r="AO132" i="59"/>
  <c r="AK133" i="59"/>
  <c r="AI133" i="59"/>
  <c r="AL133" i="59" s="1"/>
  <c r="AM133" i="59"/>
  <c r="AO133" i="59"/>
  <c r="AK134" i="59"/>
  <c r="AI134" i="59"/>
  <c r="AL134" i="59" s="1"/>
  <c r="AM134" i="59"/>
  <c r="AO134" i="59"/>
  <c r="AP134" i="59"/>
  <c r="AQ134" i="59" s="1"/>
  <c r="AK135" i="59"/>
  <c r="AI135" i="59"/>
  <c r="AM135" i="59"/>
  <c r="AO135" i="59"/>
  <c r="AK136" i="59"/>
  <c r="AI136" i="59"/>
  <c r="AL136" i="59" s="1"/>
  <c r="AP136" i="59" s="1"/>
  <c r="AQ136" i="59" s="1"/>
  <c r="AM136" i="59"/>
  <c r="AO136" i="59"/>
  <c r="AK137" i="59"/>
  <c r="AI137" i="59"/>
  <c r="AL137" i="59" s="1"/>
  <c r="AM137" i="59"/>
  <c r="AP137" i="59" s="1"/>
  <c r="AQ137" i="59" s="1"/>
  <c r="AO137" i="59"/>
  <c r="AC147" i="59"/>
  <c r="AD147" i="59"/>
  <c r="E83" i="59"/>
  <c r="C83" i="59"/>
  <c r="F83" i="59" s="1"/>
  <c r="H83" i="59" s="1"/>
  <c r="D83" i="59"/>
  <c r="E84" i="59"/>
  <c r="C84" i="59"/>
  <c r="E85" i="59"/>
  <c r="D85" i="59"/>
  <c r="E86" i="59"/>
  <c r="D86" i="59"/>
  <c r="E87" i="59"/>
  <c r="D87" i="59"/>
  <c r="Z146" i="59"/>
  <c r="C146" i="59"/>
  <c r="C145" i="59"/>
  <c r="C144" i="59"/>
  <c r="C143" i="59"/>
  <c r="AQ141" i="59"/>
  <c r="AQ124" i="59"/>
  <c r="T141" i="59"/>
  <c r="C142" i="59"/>
  <c r="Z141" i="59"/>
  <c r="C141" i="59"/>
  <c r="C138" i="59"/>
  <c r="AJ137" i="59"/>
  <c r="T137" i="59"/>
  <c r="M137" i="59"/>
  <c r="C137" i="59"/>
  <c r="AJ136" i="59"/>
  <c r="Z136" i="59"/>
  <c r="T136" i="59"/>
  <c r="M136" i="59"/>
  <c r="C136" i="59"/>
  <c r="Z135" i="59"/>
  <c r="T135" i="59"/>
  <c r="M135" i="59"/>
  <c r="C135" i="59"/>
  <c r="AJ134" i="59"/>
  <c r="Z134" i="59"/>
  <c r="T134" i="59"/>
  <c r="M134" i="59"/>
  <c r="C134" i="59"/>
  <c r="Z133" i="59"/>
  <c r="T133" i="59"/>
  <c r="M133" i="59"/>
  <c r="C133" i="59"/>
  <c r="T132" i="59"/>
  <c r="M132" i="59"/>
  <c r="C132" i="59"/>
  <c r="Z131" i="59"/>
  <c r="C131" i="59"/>
  <c r="Z130" i="59"/>
  <c r="C130" i="59"/>
  <c r="Z129" i="59"/>
  <c r="T129" i="59"/>
  <c r="M129" i="59"/>
  <c r="C129" i="59"/>
  <c r="T128" i="59"/>
  <c r="M128" i="59"/>
  <c r="C128" i="59"/>
  <c r="T127" i="59"/>
  <c r="M127" i="59"/>
  <c r="C127" i="59"/>
  <c r="T126" i="59"/>
  <c r="M126" i="59"/>
  <c r="T125" i="59"/>
  <c r="M125" i="59"/>
  <c r="Z124" i="59"/>
  <c r="T124" i="59"/>
  <c r="M124" i="59"/>
  <c r="C124" i="59"/>
  <c r="Z123" i="59"/>
  <c r="T123" i="59"/>
  <c r="M123" i="59"/>
  <c r="C123" i="59"/>
  <c r="AJ122" i="59"/>
  <c r="Z122" i="59"/>
  <c r="T122" i="59"/>
  <c r="M122" i="59"/>
  <c r="C122" i="59"/>
  <c r="T121" i="59"/>
  <c r="M121" i="59"/>
  <c r="C121" i="59"/>
  <c r="Z120" i="59"/>
  <c r="T120" i="59"/>
  <c r="M120" i="59"/>
  <c r="C120" i="59"/>
  <c r="AJ119" i="59"/>
  <c r="Z119" i="59"/>
  <c r="T119" i="59"/>
  <c r="M119" i="59"/>
  <c r="C119" i="59"/>
  <c r="AJ118" i="59"/>
  <c r="Z118" i="59"/>
  <c r="T118" i="59"/>
  <c r="M118" i="59"/>
  <c r="C118" i="59"/>
  <c r="C117" i="59"/>
  <c r="C116" i="59"/>
  <c r="T115" i="59"/>
  <c r="M115" i="59"/>
  <c r="C115" i="59"/>
  <c r="Z114" i="59"/>
  <c r="T114" i="59"/>
  <c r="M114" i="59"/>
  <c r="C114" i="59"/>
  <c r="T113" i="59"/>
  <c r="M113" i="59"/>
  <c r="C113" i="59"/>
  <c r="T112" i="59"/>
  <c r="M112" i="59"/>
  <c r="C112" i="59"/>
  <c r="T111" i="59"/>
  <c r="M111" i="59"/>
  <c r="C111" i="59"/>
  <c r="AJ110" i="59"/>
  <c r="Z110" i="59"/>
  <c r="T110" i="59"/>
  <c r="M110" i="59"/>
  <c r="C110" i="59"/>
  <c r="M74" i="59"/>
  <c r="B74" i="59"/>
  <c r="B73" i="59"/>
  <c r="M72" i="59"/>
  <c r="B72" i="59"/>
  <c r="M71" i="59"/>
  <c r="B71" i="59"/>
  <c r="M70" i="59"/>
  <c r="B70" i="59"/>
  <c r="M69" i="59"/>
  <c r="B69" i="59"/>
  <c r="M54" i="59"/>
  <c r="O54" i="59"/>
  <c r="M55" i="59"/>
  <c r="O55" i="59" s="1"/>
  <c r="M56" i="59"/>
  <c r="O56" i="59" s="1"/>
  <c r="M57" i="59"/>
  <c r="O57" i="59"/>
  <c r="M58" i="59"/>
  <c r="O58" i="59"/>
  <c r="M59" i="59"/>
  <c r="O59" i="59" s="1"/>
  <c r="M61" i="59"/>
  <c r="I59" i="59"/>
  <c r="F59" i="59"/>
  <c r="G59" i="59" s="1"/>
  <c r="I58" i="59"/>
  <c r="F58" i="59"/>
  <c r="G58" i="59" s="1"/>
  <c r="I57" i="59"/>
  <c r="F57" i="59"/>
  <c r="G57" i="59" s="1"/>
  <c r="I56" i="59"/>
  <c r="F56" i="59"/>
  <c r="G56" i="59" s="1"/>
  <c r="I55" i="59"/>
  <c r="F55" i="59"/>
  <c r="G55" i="59" s="1"/>
  <c r="I54" i="59"/>
  <c r="F54" i="59"/>
  <c r="G54" i="59" s="1"/>
  <c r="L47" i="59"/>
  <c r="K47" i="59"/>
  <c r="I47" i="59"/>
  <c r="H47" i="59"/>
  <c r="G47" i="59"/>
  <c r="AA30" i="59"/>
  <c r="AA34" i="59" s="1"/>
  <c r="AA35" i="59"/>
  <c r="I34" i="59"/>
  <c r="D34" i="59"/>
  <c r="D33" i="59"/>
  <c r="I32" i="59"/>
  <c r="D32" i="59"/>
  <c r="D31" i="59"/>
  <c r="I30" i="59"/>
  <c r="D30" i="59"/>
  <c r="I29" i="59"/>
  <c r="D29" i="59"/>
  <c r="X12" i="59"/>
  <c r="X14" i="59" s="1"/>
  <c r="X23" i="59" s="1"/>
  <c r="X22" i="59"/>
  <c r="X24" i="59" s="1"/>
  <c r="W12" i="59"/>
  <c r="V12" i="59"/>
  <c r="V14" i="59" s="1"/>
  <c r="U12" i="59"/>
  <c r="T12" i="59"/>
  <c r="T14" i="59" s="1"/>
  <c r="T22" i="59"/>
  <c r="T24" i="59" s="1"/>
  <c r="S12" i="59"/>
  <c r="S22" i="59" s="1"/>
  <c r="S24" i="59" s="1"/>
  <c r="X16" i="59"/>
  <c r="X18" i="59" s="1"/>
  <c r="X21" i="59"/>
  <c r="L21" i="59"/>
  <c r="K21" i="59"/>
  <c r="J21" i="59"/>
  <c r="I21" i="59"/>
  <c r="L20" i="59"/>
  <c r="K20" i="59"/>
  <c r="J20" i="59"/>
  <c r="I20" i="59"/>
  <c r="L19" i="59"/>
  <c r="K19" i="59"/>
  <c r="J19" i="59"/>
  <c r="I19" i="59"/>
  <c r="L18" i="59"/>
  <c r="K18" i="59"/>
  <c r="J18" i="59"/>
  <c r="I18" i="59"/>
  <c r="L17" i="59"/>
  <c r="K17" i="59"/>
  <c r="J17" i="59"/>
  <c r="I17" i="59"/>
  <c r="L16" i="59"/>
  <c r="K16" i="59"/>
  <c r="J16" i="59"/>
  <c r="I16" i="59"/>
  <c r="D10" i="59"/>
  <c r="D94" i="16"/>
  <c r="F94" i="16"/>
  <c r="E94" i="16"/>
  <c r="G94" i="16" s="1"/>
  <c r="C94" i="16"/>
  <c r="D55" i="16"/>
  <c r="F95" i="16"/>
  <c r="E95" i="16"/>
  <c r="G95" i="16"/>
  <c r="C42" i="16"/>
  <c r="C95" i="16" s="1"/>
  <c r="D56" i="16"/>
  <c r="D96" i="16" s="1"/>
  <c r="F96" i="16"/>
  <c r="G96" i="16" s="1"/>
  <c r="E96" i="16"/>
  <c r="C43" i="16"/>
  <c r="C96" i="16"/>
  <c r="D57" i="16"/>
  <c r="F97" i="16"/>
  <c r="G97" i="16" s="1"/>
  <c r="E97" i="16"/>
  <c r="C44" i="16"/>
  <c r="C97" i="16"/>
  <c r="D58" i="16"/>
  <c r="D98" i="16" s="1"/>
  <c r="F98" i="16"/>
  <c r="G98" i="16" s="1"/>
  <c r="E98" i="16"/>
  <c r="C45" i="16"/>
  <c r="M45" i="16" s="1"/>
  <c r="C98" i="16"/>
  <c r="D59" i="16"/>
  <c r="F99" i="16"/>
  <c r="G99" i="16" s="1"/>
  <c r="E99" i="16"/>
  <c r="C46" i="16"/>
  <c r="C99" i="16"/>
  <c r="D179" i="16"/>
  <c r="K55" i="16"/>
  <c r="L55" i="16"/>
  <c r="D70" i="16" s="1"/>
  <c r="K56" i="16"/>
  <c r="L56" i="16" s="1"/>
  <c r="D71" i="16" s="1"/>
  <c r="K57" i="16"/>
  <c r="L57" i="16"/>
  <c r="D72" i="16" s="1"/>
  <c r="K58" i="16"/>
  <c r="L58" i="16" s="1"/>
  <c r="D73" i="16" s="1"/>
  <c r="K59" i="16"/>
  <c r="L59" i="16"/>
  <c r="D74" i="16" s="1"/>
  <c r="G17" i="16"/>
  <c r="H17" i="16" s="1"/>
  <c r="G18" i="16"/>
  <c r="G19" i="16"/>
  <c r="H19" i="16" s="1"/>
  <c r="G20" i="16"/>
  <c r="G21" i="16"/>
  <c r="H21" i="16" s="1"/>
  <c r="C30" i="16"/>
  <c r="H30" i="16"/>
  <c r="C31" i="16"/>
  <c r="I31" i="16" s="1"/>
  <c r="H31" i="16"/>
  <c r="C32" i="16"/>
  <c r="H32" i="16" s="1"/>
  <c r="C33" i="16"/>
  <c r="H33" i="16"/>
  <c r="C34" i="16"/>
  <c r="H34" i="16" s="1"/>
  <c r="J35" i="16"/>
  <c r="L30" i="16"/>
  <c r="L32" i="16"/>
  <c r="L33" i="16"/>
  <c r="L34" i="16"/>
  <c r="L70" i="16"/>
  <c r="L71" i="16"/>
  <c r="L72" i="16"/>
  <c r="M72" i="16" s="1"/>
  <c r="L73" i="16"/>
  <c r="L74" i="16"/>
  <c r="M43" i="16"/>
  <c r="M44" i="16"/>
  <c r="M46" i="16"/>
  <c r="H70" i="16"/>
  <c r="H71" i="16"/>
  <c r="H72" i="16"/>
  <c r="H73" i="16"/>
  <c r="H74" i="16"/>
  <c r="AA110" i="16"/>
  <c r="Y110" i="16"/>
  <c r="AB110" i="16" s="1"/>
  <c r="AC110" i="16"/>
  <c r="AD110" i="16"/>
  <c r="AE110" i="16"/>
  <c r="AF110" i="16" s="1"/>
  <c r="AA111" i="16"/>
  <c r="Y111" i="16"/>
  <c r="AB111" i="16"/>
  <c r="AC111" i="16"/>
  <c r="AD111" i="16"/>
  <c r="AA112" i="16"/>
  <c r="Y112" i="16"/>
  <c r="AB112" i="16" s="1"/>
  <c r="AC112" i="16"/>
  <c r="AD112" i="16"/>
  <c r="AE112" i="16"/>
  <c r="AF112" i="16" s="1"/>
  <c r="AA113" i="16"/>
  <c r="Y113" i="16"/>
  <c r="AB113" i="16" s="1"/>
  <c r="AC113" i="16"/>
  <c r="AD113" i="16"/>
  <c r="AA114" i="16"/>
  <c r="Y114" i="16"/>
  <c r="AC114" i="16"/>
  <c r="AD114" i="16"/>
  <c r="AA115" i="16"/>
  <c r="Y115" i="16"/>
  <c r="AB115" i="16"/>
  <c r="AC115" i="16"/>
  <c r="AD115" i="16"/>
  <c r="AA116" i="16"/>
  <c r="Y116" i="16"/>
  <c r="AB116" i="16" s="1"/>
  <c r="AC116" i="16"/>
  <c r="AD116" i="16"/>
  <c r="AA117" i="16"/>
  <c r="Y117" i="16"/>
  <c r="AB117" i="16" s="1"/>
  <c r="AC117" i="16"/>
  <c r="AD117" i="16"/>
  <c r="AA118" i="16"/>
  <c r="AE118" i="16" s="1"/>
  <c r="AF118" i="16" s="1"/>
  <c r="Y118" i="16"/>
  <c r="AB118" i="16" s="1"/>
  <c r="AC118" i="16"/>
  <c r="AD118" i="16"/>
  <c r="AA119" i="16"/>
  <c r="Y119" i="16"/>
  <c r="AB119" i="16"/>
  <c r="AC119" i="16"/>
  <c r="AD119" i="16"/>
  <c r="AA120" i="16"/>
  <c r="Y120" i="16"/>
  <c r="AB120" i="16" s="1"/>
  <c r="AC120" i="16"/>
  <c r="AD120" i="16"/>
  <c r="AE120" i="16"/>
  <c r="AF120" i="16" s="1"/>
  <c r="AA121" i="16"/>
  <c r="Y121" i="16"/>
  <c r="AB121" i="16"/>
  <c r="AC121" i="16"/>
  <c r="AD121" i="16"/>
  <c r="AA122" i="16"/>
  <c r="Y122" i="16"/>
  <c r="AC122" i="16"/>
  <c r="AD122" i="16"/>
  <c r="AA123" i="16"/>
  <c r="Y123" i="16"/>
  <c r="AB123" i="16"/>
  <c r="AC123" i="16"/>
  <c r="AD123" i="16"/>
  <c r="AA124" i="16"/>
  <c r="Y124" i="16"/>
  <c r="AB124" i="16" s="1"/>
  <c r="AC124" i="16"/>
  <c r="AE124" i="16" s="1"/>
  <c r="AF124" i="16" s="1"/>
  <c r="AD124" i="16"/>
  <c r="AA127" i="16"/>
  <c r="Y127" i="16"/>
  <c r="AB127" i="16"/>
  <c r="AC127" i="16"/>
  <c r="AD127" i="16"/>
  <c r="AA128" i="16"/>
  <c r="AE128" i="16" s="1"/>
  <c r="AF128" i="16" s="1"/>
  <c r="Y128" i="16"/>
  <c r="AB128" i="16" s="1"/>
  <c r="AC128" i="16"/>
  <c r="AD128" i="16"/>
  <c r="AA129" i="16"/>
  <c r="Y129" i="16"/>
  <c r="AB129" i="16" s="1"/>
  <c r="AC129" i="16"/>
  <c r="AD129" i="16"/>
  <c r="AA130" i="16"/>
  <c r="Y130" i="16"/>
  <c r="AC130" i="16"/>
  <c r="AD130" i="16"/>
  <c r="AA131" i="16"/>
  <c r="Y131" i="16"/>
  <c r="Z131" i="16" s="1"/>
  <c r="AB131" i="16"/>
  <c r="AC131" i="16"/>
  <c r="AD131" i="16"/>
  <c r="AA132" i="16"/>
  <c r="Y132" i="16"/>
  <c r="AB132" i="16" s="1"/>
  <c r="AC132" i="16"/>
  <c r="AD132" i="16"/>
  <c r="AA133" i="16"/>
  <c r="Y133" i="16"/>
  <c r="Z133" i="16" s="1"/>
  <c r="AC133" i="16"/>
  <c r="AD133" i="16"/>
  <c r="AA134" i="16"/>
  <c r="Y134" i="16"/>
  <c r="AC134" i="16"/>
  <c r="AD134" i="16"/>
  <c r="AA135" i="16"/>
  <c r="Y135" i="16"/>
  <c r="AB135" i="16"/>
  <c r="AC135" i="16"/>
  <c r="AD135" i="16"/>
  <c r="AA136" i="16"/>
  <c r="Y136" i="16"/>
  <c r="AB136" i="16" s="1"/>
  <c r="AC136" i="16"/>
  <c r="AD136" i="16"/>
  <c r="AE136" i="16"/>
  <c r="AF136" i="16" s="1"/>
  <c r="AA137" i="16"/>
  <c r="Y137" i="16"/>
  <c r="Z137" i="16" s="1"/>
  <c r="AB137" i="16"/>
  <c r="AC137" i="16"/>
  <c r="AD137" i="16"/>
  <c r="AA138" i="16"/>
  <c r="Y138" i="16"/>
  <c r="AB138" i="16" s="1"/>
  <c r="AE138" i="16" s="1"/>
  <c r="AF138" i="16" s="1"/>
  <c r="AC138" i="16"/>
  <c r="AD138" i="16"/>
  <c r="AA141" i="16"/>
  <c r="Y141" i="16"/>
  <c r="AC141" i="16"/>
  <c r="AD141" i="16"/>
  <c r="AA142" i="16"/>
  <c r="Y142" i="16"/>
  <c r="AC142" i="16"/>
  <c r="AD142" i="16"/>
  <c r="AA143" i="16"/>
  <c r="Y143" i="16"/>
  <c r="AB143" i="16"/>
  <c r="AC143" i="16"/>
  <c r="AD143" i="16"/>
  <c r="AA144" i="16"/>
  <c r="Y144" i="16"/>
  <c r="AB144" i="16" s="1"/>
  <c r="AC144" i="16"/>
  <c r="AD144" i="16"/>
  <c r="AA145" i="16"/>
  <c r="Y145" i="16"/>
  <c r="AB145" i="16"/>
  <c r="AC145" i="16"/>
  <c r="AD145" i="16"/>
  <c r="AA146" i="16"/>
  <c r="Y146" i="16"/>
  <c r="AB146" i="16" s="1"/>
  <c r="AC146" i="16"/>
  <c r="AD146" i="16"/>
  <c r="AA147" i="16"/>
  <c r="AO142" i="16"/>
  <c r="AN143" i="16"/>
  <c r="AP141" i="16"/>
  <c r="AK110" i="16"/>
  <c r="AI110" i="16"/>
  <c r="AL110" i="16" s="1"/>
  <c r="AM110" i="16"/>
  <c r="AO110" i="16"/>
  <c r="AK111" i="16"/>
  <c r="AI111" i="16"/>
  <c r="AL111" i="16" s="1"/>
  <c r="AM111" i="16"/>
  <c r="AO111" i="16"/>
  <c r="AK112" i="16"/>
  <c r="AI112" i="16"/>
  <c r="AL112" i="16"/>
  <c r="AM112" i="16"/>
  <c r="AO112" i="16"/>
  <c r="AK113" i="16"/>
  <c r="AI113" i="16"/>
  <c r="AJ113" i="16" s="1"/>
  <c r="AL113" i="16"/>
  <c r="AM113" i="16"/>
  <c r="AO113" i="16"/>
  <c r="AK114" i="16"/>
  <c r="AI114" i="16"/>
  <c r="AL114" i="16"/>
  <c r="AM114" i="16"/>
  <c r="AO114" i="16"/>
  <c r="AK115" i="16"/>
  <c r="AI115" i="16"/>
  <c r="AL115" i="16"/>
  <c r="AM115" i="16"/>
  <c r="AO115" i="16"/>
  <c r="AK118" i="16"/>
  <c r="AI118" i="16"/>
  <c r="AJ118" i="16" s="1"/>
  <c r="AL118" i="16"/>
  <c r="AM118" i="16"/>
  <c r="AO118" i="16"/>
  <c r="AK119" i="16"/>
  <c r="AI119" i="16"/>
  <c r="AL119" i="16" s="1"/>
  <c r="AM119" i="16"/>
  <c r="AO119" i="16"/>
  <c r="AK120" i="16"/>
  <c r="AI120" i="16"/>
  <c r="AM120" i="16"/>
  <c r="AO120" i="16"/>
  <c r="AK121" i="16"/>
  <c r="AI121" i="16"/>
  <c r="AJ121" i="16" s="1"/>
  <c r="AM121" i="16"/>
  <c r="AO121" i="16"/>
  <c r="AK122" i="16"/>
  <c r="AI122" i="16"/>
  <c r="AJ122" i="16" s="1"/>
  <c r="AL122" i="16"/>
  <c r="AM122" i="16"/>
  <c r="AO122" i="16"/>
  <c r="AK123" i="16"/>
  <c r="AI123" i="16"/>
  <c r="AL123" i="16"/>
  <c r="AM123" i="16"/>
  <c r="AO123" i="16"/>
  <c r="AK124" i="16"/>
  <c r="AI124" i="16"/>
  <c r="AL124" i="16" s="1"/>
  <c r="AM124" i="16"/>
  <c r="AO124" i="16"/>
  <c r="AK125" i="16"/>
  <c r="AI125" i="16"/>
  <c r="AL125" i="16" s="1"/>
  <c r="AM125" i="16"/>
  <c r="AO125" i="16"/>
  <c r="AK126" i="16"/>
  <c r="AI126" i="16"/>
  <c r="AJ126" i="16" s="1"/>
  <c r="AL126" i="16"/>
  <c r="AM126" i="16"/>
  <c r="AO126" i="16"/>
  <c r="AK127" i="16"/>
  <c r="AI127" i="16"/>
  <c r="AJ127" i="16" s="1"/>
  <c r="AL127" i="16"/>
  <c r="AM127" i="16"/>
  <c r="AO127" i="16"/>
  <c r="AK128" i="16"/>
  <c r="AI128" i="16"/>
  <c r="AJ128" i="16" s="1"/>
  <c r="AL128" i="16"/>
  <c r="AM128" i="16"/>
  <c r="AO128" i="16"/>
  <c r="AK129" i="16"/>
  <c r="AI129" i="16"/>
  <c r="AL129" i="16"/>
  <c r="AM129" i="16"/>
  <c r="AO129" i="16"/>
  <c r="AK132" i="16"/>
  <c r="AI132" i="16"/>
  <c r="AJ132" i="16" s="1"/>
  <c r="AL132" i="16"/>
  <c r="AM132" i="16"/>
  <c r="AO132" i="16"/>
  <c r="AK133" i="16"/>
  <c r="AI133" i="16"/>
  <c r="AJ133" i="16" s="1"/>
  <c r="AM133" i="16"/>
  <c r="AO133" i="16"/>
  <c r="AK134" i="16"/>
  <c r="AI134" i="16"/>
  <c r="AL134" i="16" s="1"/>
  <c r="AM134" i="16"/>
  <c r="AO134" i="16"/>
  <c r="AK135" i="16"/>
  <c r="AI135" i="16"/>
  <c r="AL135" i="16" s="1"/>
  <c r="AM135" i="16"/>
  <c r="AO135" i="16"/>
  <c r="AK136" i="16"/>
  <c r="AI136" i="16"/>
  <c r="AJ136" i="16" s="1"/>
  <c r="AL136" i="16"/>
  <c r="AM136" i="16"/>
  <c r="AO136" i="16"/>
  <c r="AK137" i="16"/>
  <c r="AI137" i="16"/>
  <c r="AL137" i="16"/>
  <c r="AM137" i="16"/>
  <c r="AO137" i="16"/>
  <c r="AC147" i="16"/>
  <c r="AD147" i="16"/>
  <c r="E83" i="16"/>
  <c r="C83" i="16"/>
  <c r="C84" i="16"/>
  <c r="D84" i="16"/>
  <c r="E85" i="16"/>
  <c r="F85" i="16" s="1"/>
  <c r="C85" i="16"/>
  <c r="C86" i="16"/>
  <c r="D86" i="16"/>
  <c r="C87" i="16"/>
  <c r="Z146" i="16"/>
  <c r="C146" i="16"/>
  <c r="Z145" i="16"/>
  <c r="C145" i="16"/>
  <c r="Z144" i="16"/>
  <c r="C144" i="16"/>
  <c r="Z143" i="16"/>
  <c r="C143" i="16"/>
  <c r="AQ141" i="16"/>
  <c r="T141" i="16"/>
  <c r="C142" i="16"/>
  <c r="C141" i="16"/>
  <c r="C138" i="16"/>
  <c r="AJ137" i="16"/>
  <c r="T137" i="16"/>
  <c r="M137" i="16"/>
  <c r="C137" i="16"/>
  <c r="Z136" i="16"/>
  <c r="T136" i="16"/>
  <c r="M136" i="16"/>
  <c r="C136" i="16"/>
  <c r="AJ135" i="16"/>
  <c r="Z135" i="16"/>
  <c r="T135" i="16"/>
  <c r="M135" i="16"/>
  <c r="C135" i="16"/>
  <c r="AJ134" i="16"/>
  <c r="T134" i="16"/>
  <c r="M134" i="16"/>
  <c r="C134" i="16"/>
  <c r="T133" i="16"/>
  <c r="M133" i="16"/>
  <c r="C133" i="16"/>
  <c r="Z132" i="16"/>
  <c r="T132" i="16"/>
  <c r="M132" i="16"/>
  <c r="C132" i="16"/>
  <c r="C131" i="16"/>
  <c r="C130" i="16"/>
  <c r="AJ129" i="16"/>
  <c r="Z129" i="16"/>
  <c r="T129" i="16"/>
  <c r="M129" i="16"/>
  <c r="C129" i="16"/>
  <c r="T128" i="16"/>
  <c r="M128" i="16"/>
  <c r="C128" i="16"/>
  <c r="Z127" i="16"/>
  <c r="T127" i="16"/>
  <c r="M127" i="16"/>
  <c r="C127" i="16"/>
  <c r="T126" i="16"/>
  <c r="M126" i="16"/>
  <c r="AJ125" i="16"/>
  <c r="T125" i="16"/>
  <c r="M125" i="16"/>
  <c r="AJ124" i="16"/>
  <c r="T124" i="16"/>
  <c r="M124" i="16"/>
  <c r="C124" i="16"/>
  <c r="AJ123" i="16"/>
  <c r="Z123" i="16"/>
  <c r="T123" i="16"/>
  <c r="M123" i="16"/>
  <c r="C123" i="16"/>
  <c r="T122" i="16"/>
  <c r="M122" i="16"/>
  <c r="C122" i="16"/>
  <c r="Z121" i="16"/>
  <c r="T121" i="16"/>
  <c r="M121" i="16"/>
  <c r="C121" i="16"/>
  <c r="Z120" i="16"/>
  <c r="T120" i="16"/>
  <c r="M120" i="16"/>
  <c r="C120" i="16"/>
  <c r="Z119" i="16"/>
  <c r="T119" i="16"/>
  <c r="M119" i="16"/>
  <c r="C119" i="16"/>
  <c r="Z118" i="16"/>
  <c r="T118" i="16"/>
  <c r="M118" i="16"/>
  <c r="C118" i="16"/>
  <c r="Z117" i="16"/>
  <c r="C117" i="16"/>
  <c r="Z116" i="16"/>
  <c r="C116" i="16"/>
  <c r="AJ115" i="16"/>
  <c r="Z115" i="16"/>
  <c r="T115" i="16"/>
  <c r="M115" i="16"/>
  <c r="C115" i="16"/>
  <c r="AJ114" i="16"/>
  <c r="T114" i="16"/>
  <c r="M114" i="16"/>
  <c r="C114" i="16"/>
  <c r="T113" i="16"/>
  <c r="M113" i="16"/>
  <c r="C113" i="16"/>
  <c r="AJ112" i="16"/>
  <c r="Z112" i="16"/>
  <c r="T112" i="16"/>
  <c r="M112" i="16"/>
  <c r="C112" i="16"/>
  <c r="AJ111" i="16"/>
  <c r="Z111" i="16"/>
  <c r="T111" i="16"/>
  <c r="M111" i="16"/>
  <c r="C111" i="16"/>
  <c r="AJ110" i="16"/>
  <c r="T110" i="16"/>
  <c r="M110" i="16"/>
  <c r="C110" i="16"/>
  <c r="M74" i="16"/>
  <c r="B74" i="16"/>
  <c r="M73" i="16"/>
  <c r="B73" i="16"/>
  <c r="B72" i="16"/>
  <c r="M71" i="16"/>
  <c r="B71" i="16"/>
  <c r="M70" i="16"/>
  <c r="B70" i="16"/>
  <c r="M69" i="16"/>
  <c r="B69" i="16"/>
  <c r="M54" i="16"/>
  <c r="O54" i="16" s="1"/>
  <c r="M55" i="16"/>
  <c r="O55" i="16" s="1"/>
  <c r="M56" i="16"/>
  <c r="M57" i="16"/>
  <c r="O57" i="16" s="1"/>
  <c r="M58" i="16"/>
  <c r="O58" i="16" s="1"/>
  <c r="M59" i="16"/>
  <c r="O59" i="16" s="1"/>
  <c r="M61" i="16"/>
  <c r="I59" i="16"/>
  <c r="F59" i="16"/>
  <c r="G59" i="16"/>
  <c r="I58" i="16"/>
  <c r="F58" i="16"/>
  <c r="G58" i="16" s="1"/>
  <c r="I57" i="16"/>
  <c r="F57" i="16"/>
  <c r="G57" i="16"/>
  <c r="I56" i="16"/>
  <c r="F56" i="16"/>
  <c r="G56" i="16" s="1"/>
  <c r="I55" i="16"/>
  <c r="F55" i="16"/>
  <c r="G55" i="16"/>
  <c r="I54" i="16"/>
  <c r="F54" i="16"/>
  <c r="G54" i="16" s="1"/>
  <c r="L47" i="16"/>
  <c r="K47" i="16"/>
  <c r="J47" i="16"/>
  <c r="I47" i="16"/>
  <c r="H47" i="16"/>
  <c r="G47" i="16"/>
  <c r="F47" i="16"/>
  <c r="E47" i="16"/>
  <c r="D47" i="16"/>
  <c r="AA30" i="16"/>
  <c r="AA35" i="16" s="1"/>
  <c r="AA34" i="16"/>
  <c r="I34" i="16"/>
  <c r="D34" i="16"/>
  <c r="I33" i="16"/>
  <c r="D33" i="16"/>
  <c r="I32" i="16"/>
  <c r="D32" i="16"/>
  <c r="D31" i="16"/>
  <c r="I30" i="16"/>
  <c r="D30" i="16"/>
  <c r="I29" i="16"/>
  <c r="D29" i="16"/>
  <c r="X12" i="16"/>
  <c r="X22" i="16" s="1"/>
  <c r="X24" i="16" s="1"/>
  <c r="W12" i="16"/>
  <c r="W22" i="16"/>
  <c r="W24" i="16" s="1"/>
  <c r="V12" i="16"/>
  <c r="V22" i="16" s="1"/>
  <c r="V24" i="16" s="1"/>
  <c r="U12" i="16"/>
  <c r="U14" i="16" s="1"/>
  <c r="U22" i="16"/>
  <c r="U24" i="16" s="1"/>
  <c r="T12" i="16"/>
  <c r="T22" i="16" s="1"/>
  <c r="T24" i="16" s="1"/>
  <c r="S12" i="16"/>
  <c r="S22" i="16" s="1"/>
  <c r="S24" i="16" s="1"/>
  <c r="W14" i="16"/>
  <c r="W23" i="16" s="1"/>
  <c r="W16" i="16"/>
  <c r="W18" i="16" s="1"/>
  <c r="L21" i="16"/>
  <c r="K21" i="16"/>
  <c r="J21" i="16"/>
  <c r="I21" i="16"/>
  <c r="L20" i="16"/>
  <c r="K20" i="16"/>
  <c r="J20" i="16"/>
  <c r="I20" i="16"/>
  <c r="L19" i="16"/>
  <c r="K19" i="16"/>
  <c r="J19" i="16"/>
  <c r="I19" i="16"/>
  <c r="L18" i="16"/>
  <c r="K18" i="16"/>
  <c r="J18" i="16"/>
  <c r="I18" i="16"/>
  <c r="L17" i="16"/>
  <c r="K17" i="16"/>
  <c r="J17" i="16"/>
  <c r="I17" i="16"/>
  <c r="L16" i="16"/>
  <c r="K16" i="16"/>
  <c r="J16" i="16"/>
  <c r="I16" i="16"/>
  <c r="D10" i="16"/>
  <c r="D94" i="56"/>
  <c r="F94" i="56"/>
  <c r="G94" i="56" s="1"/>
  <c r="E94" i="56"/>
  <c r="C94" i="56"/>
  <c r="D55" i="56"/>
  <c r="D83" i="56" s="1"/>
  <c r="D95" i="56"/>
  <c r="F95" i="56"/>
  <c r="E95" i="56"/>
  <c r="C42" i="56"/>
  <c r="D56" i="56"/>
  <c r="D96" i="56"/>
  <c r="F96" i="56"/>
  <c r="E96" i="56"/>
  <c r="C43" i="56"/>
  <c r="M43" i="56" s="1"/>
  <c r="D57" i="56"/>
  <c r="D97" i="56"/>
  <c r="F97" i="56"/>
  <c r="E97" i="56"/>
  <c r="C44" i="56"/>
  <c r="D58" i="56"/>
  <c r="D98" i="56"/>
  <c r="F98" i="56"/>
  <c r="E98" i="56"/>
  <c r="C45" i="56"/>
  <c r="D59" i="56"/>
  <c r="D99" i="56" s="1"/>
  <c r="F99" i="56"/>
  <c r="E99" i="56"/>
  <c r="C46" i="56"/>
  <c r="D179" i="56"/>
  <c r="K55" i="56"/>
  <c r="L55" i="56" s="1"/>
  <c r="D70" i="56" s="1"/>
  <c r="K56" i="56"/>
  <c r="L56" i="56" s="1"/>
  <c r="K57" i="56"/>
  <c r="L57" i="56" s="1"/>
  <c r="D72" i="56" s="1"/>
  <c r="K58" i="56"/>
  <c r="L58" i="56" s="1"/>
  <c r="K59" i="56"/>
  <c r="L59" i="56" s="1"/>
  <c r="D74" i="56" s="1"/>
  <c r="G17" i="56"/>
  <c r="E83" i="56" s="1"/>
  <c r="H17" i="56"/>
  <c r="G18" i="56"/>
  <c r="E84" i="56" s="1"/>
  <c r="G19" i="56"/>
  <c r="E85" i="56" s="1"/>
  <c r="H19" i="56"/>
  <c r="G20" i="56"/>
  <c r="G21" i="56"/>
  <c r="E87" i="56" s="1"/>
  <c r="H21" i="56"/>
  <c r="C30" i="56"/>
  <c r="C31" i="56"/>
  <c r="L31" i="56" s="1"/>
  <c r="C32" i="56"/>
  <c r="C33" i="56"/>
  <c r="L33" i="56" s="1"/>
  <c r="C34" i="56"/>
  <c r="J35" i="56"/>
  <c r="L70" i="56"/>
  <c r="M70" i="56" s="1"/>
  <c r="L71" i="56"/>
  <c r="M71" i="56" s="1"/>
  <c r="L72" i="56"/>
  <c r="L73" i="56"/>
  <c r="M73" i="56" s="1"/>
  <c r="L74" i="56"/>
  <c r="M45" i="56"/>
  <c r="D71" i="56"/>
  <c r="D73" i="56"/>
  <c r="H70" i="56"/>
  <c r="H71" i="56"/>
  <c r="H72" i="56"/>
  <c r="H73" i="56"/>
  <c r="H74" i="56"/>
  <c r="AA110" i="56"/>
  <c r="Y110" i="56"/>
  <c r="AB110" i="56"/>
  <c r="AC110" i="56"/>
  <c r="AD110" i="56"/>
  <c r="AA111" i="56"/>
  <c r="Y111" i="56"/>
  <c r="AB111" i="56" s="1"/>
  <c r="AC111" i="56"/>
  <c r="AD111" i="56"/>
  <c r="AA112" i="56"/>
  <c r="Y112" i="56"/>
  <c r="Z112" i="56" s="1"/>
  <c r="AB112" i="56"/>
  <c r="AC112" i="56"/>
  <c r="AD112" i="56"/>
  <c r="AA113" i="56"/>
  <c r="Y113" i="56"/>
  <c r="AB113" i="56" s="1"/>
  <c r="AC113" i="56"/>
  <c r="AD113" i="56"/>
  <c r="AE113" i="56"/>
  <c r="AF113" i="56" s="1"/>
  <c r="AA114" i="56"/>
  <c r="Y114" i="56"/>
  <c r="AB114" i="56"/>
  <c r="AC114" i="56"/>
  <c r="AD114" i="56"/>
  <c r="AA115" i="56"/>
  <c r="Y115" i="56"/>
  <c r="AC115" i="56"/>
  <c r="AD115" i="56"/>
  <c r="AA116" i="56"/>
  <c r="Y116" i="56"/>
  <c r="AB116" i="56"/>
  <c r="AC116" i="56"/>
  <c r="AD116" i="56"/>
  <c r="AA117" i="56"/>
  <c r="Y117" i="56"/>
  <c r="AC117" i="56"/>
  <c r="AD117" i="56"/>
  <c r="AA118" i="56"/>
  <c r="Y118" i="56"/>
  <c r="AB118" i="56"/>
  <c r="AC118" i="56"/>
  <c r="AD118" i="56"/>
  <c r="AA119" i="56"/>
  <c r="Y119" i="56"/>
  <c r="AB119" i="56" s="1"/>
  <c r="AC119" i="56"/>
  <c r="AD119" i="56"/>
  <c r="AA120" i="56"/>
  <c r="Y120" i="56"/>
  <c r="AC120" i="56"/>
  <c r="AD120" i="56"/>
  <c r="AA121" i="56"/>
  <c r="Y121" i="56"/>
  <c r="AB121" i="56" s="1"/>
  <c r="AC121" i="56"/>
  <c r="AD121" i="56"/>
  <c r="AE121" i="56" s="1"/>
  <c r="AF121" i="56" s="1"/>
  <c r="AA122" i="56"/>
  <c r="Y122" i="56"/>
  <c r="Z122" i="56" s="1"/>
  <c r="AB122" i="56"/>
  <c r="AC122" i="56"/>
  <c r="AD122" i="56"/>
  <c r="AA123" i="56"/>
  <c r="Y123" i="56"/>
  <c r="AC123" i="56"/>
  <c r="AD123" i="56"/>
  <c r="AA124" i="56"/>
  <c r="Y124" i="56"/>
  <c r="Z124" i="56" s="1"/>
  <c r="AC124" i="56"/>
  <c r="AD124" i="56"/>
  <c r="AA127" i="56"/>
  <c r="Y127" i="56"/>
  <c r="AC127" i="56"/>
  <c r="AD127" i="56"/>
  <c r="AA128" i="56"/>
  <c r="Y128" i="56"/>
  <c r="AB128" i="56"/>
  <c r="AC128" i="56"/>
  <c r="AD128" i="56"/>
  <c r="AA129" i="56"/>
  <c r="Y129" i="56"/>
  <c r="AB129" i="56" s="1"/>
  <c r="AC129" i="56"/>
  <c r="AD129" i="56"/>
  <c r="AA130" i="56"/>
  <c r="Y130" i="56"/>
  <c r="AB130" i="56"/>
  <c r="AC130" i="56"/>
  <c r="AD130" i="56"/>
  <c r="AA131" i="56"/>
  <c r="Y131" i="56"/>
  <c r="AC131" i="56"/>
  <c r="AD131" i="56"/>
  <c r="AA132" i="56"/>
  <c r="Y132" i="56"/>
  <c r="Z132" i="56" s="1"/>
  <c r="AB132" i="56"/>
  <c r="AC132" i="56"/>
  <c r="AD132" i="56"/>
  <c r="AA133" i="56"/>
  <c r="Y133" i="56"/>
  <c r="AB133" i="56" s="1"/>
  <c r="AC133" i="56"/>
  <c r="AD133" i="56"/>
  <c r="AA134" i="56"/>
  <c r="Y134" i="56"/>
  <c r="Z134" i="56" s="1"/>
  <c r="AC134" i="56"/>
  <c r="AD134" i="56"/>
  <c r="AA135" i="56"/>
  <c r="Y135" i="56"/>
  <c r="AC135" i="56"/>
  <c r="AD135" i="56"/>
  <c r="AA136" i="56"/>
  <c r="Y136" i="56"/>
  <c r="Z136" i="56" s="1"/>
  <c r="AB136" i="56"/>
  <c r="AC136" i="56"/>
  <c r="AD136" i="56"/>
  <c r="AA137" i="56"/>
  <c r="Y137" i="56"/>
  <c r="AB137" i="56" s="1"/>
  <c r="AC137" i="56"/>
  <c r="AD137" i="56"/>
  <c r="AA138" i="56"/>
  <c r="Y138" i="56"/>
  <c r="AB138" i="56"/>
  <c r="AC138" i="56"/>
  <c r="AD138" i="56"/>
  <c r="AA141" i="56"/>
  <c r="Y141" i="56"/>
  <c r="AC141" i="56"/>
  <c r="AD141" i="56"/>
  <c r="AA142" i="56"/>
  <c r="Y142" i="56"/>
  <c r="AB142" i="56"/>
  <c r="AC142" i="56"/>
  <c r="AD142" i="56"/>
  <c r="AA143" i="56"/>
  <c r="Y143" i="56"/>
  <c r="AC143" i="56"/>
  <c r="AD143" i="56"/>
  <c r="AA144" i="56"/>
  <c r="Y144" i="56"/>
  <c r="Z144" i="56" s="1"/>
  <c r="AC144" i="56"/>
  <c r="AD144" i="56"/>
  <c r="AA145" i="56"/>
  <c r="Y145" i="56"/>
  <c r="AC145" i="56"/>
  <c r="AD145" i="56"/>
  <c r="AA146" i="56"/>
  <c r="Y146" i="56"/>
  <c r="AB146" i="56"/>
  <c r="AC146" i="56"/>
  <c r="AD146" i="56"/>
  <c r="AA147" i="56"/>
  <c r="AO142" i="56"/>
  <c r="AN143" i="56"/>
  <c r="AP141" i="56"/>
  <c r="AK110" i="56"/>
  <c r="AI110" i="56"/>
  <c r="AL110" i="56" s="1"/>
  <c r="AM110" i="56"/>
  <c r="AO110" i="56"/>
  <c r="AK111" i="56"/>
  <c r="AI111" i="56"/>
  <c r="AM111" i="56"/>
  <c r="AO111" i="56"/>
  <c r="AK112" i="56"/>
  <c r="AI112" i="56"/>
  <c r="AL112" i="56" s="1"/>
  <c r="AM112" i="56"/>
  <c r="AO112" i="56"/>
  <c r="AK113" i="56"/>
  <c r="AI113" i="56"/>
  <c r="AM113" i="56"/>
  <c r="AO113" i="56"/>
  <c r="AK114" i="56"/>
  <c r="AI114" i="56"/>
  <c r="AL114" i="56" s="1"/>
  <c r="AM114" i="56"/>
  <c r="AO114" i="56"/>
  <c r="AK115" i="56"/>
  <c r="AI115" i="56"/>
  <c r="AM115" i="56"/>
  <c r="AO115" i="56"/>
  <c r="AK118" i="56"/>
  <c r="AI118" i="56"/>
  <c r="AM118" i="56"/>
  <c r="AO118" i="56"/>
  <c r="AK119" i="56"/>
  <c r="AI119" i="56"/>
  <c r="AM119" i="56"/>
  <c r="AO119" i="56"/>
  <c r="AK120" i="56"/>
  <c r="AI120" i="56"/>
  <c r="AL120" i="56" s="1"/>
  <c r="AM120" i="56"/>
  <c r="AO120" i="56"/>
  <c r="AK121" i="56"/>
  <c r="AI121" i="56"/>
  <c r="AM121" i="56"/>
  <c r="AO121" i="56"/>
  <c r="AK122" i="56"/>
  <c r="AI122" i="56"/>
  <c r="AM122" i="56"/>
  <c r="AO122" i="56"/>
  <c r="AK123" i="56"/>
  <c r="AI123" i="56"/>
  <c r="AM123" i="56"/>
  <c r="AO123" i="56"/>
  <c r="AK124" i="56"/>
  <c r="AI124" i="56"/>
  <c r="AL124" i="56" s="1"/>
  <c r="AM124" i="56"/>
  <c r="AO124" i="56"/>
  <c r="AK125" i="56"/>
  <c r="AI125" i="56"/>
  <c r="AM125" i="56"/>
  <c r="AO125" i="56"/>
  <c r="AK126" i="56"/>
  <c r="AI126" i="56"/>
  <c r="AL126" i="56" s="1"/>
  <c r="AM126" i="56"/>
  <c r="AO126" i="56"/>
  <c r="AP126" i="56"/>
  <c r="AQ126" i="56" s="1"/>
  <c r="AK127" i="56"/>
  <c r="AI127" i="56"/>
  <c r="AM127" i="56"/>
  <c r="AO127" i="56"/>
  <c r="AK128" i="56"/>
  <c r="AI128" i="56"/>
  <c r="AL128" i="56" s="1"/>
  <c r="AM128" i="56"/>
  <c r="AP128" i="56" s="1"/>
  <c r="AQ128" i="56" s="1"/>
  <c r="AO128" i="56"/>
  <c r="AK129" i="56"/>
  <c r="AI129" i="56"/>
  <c r="AM129" i="56"/>
  <c r="AO129" i="56"/>
  <c r="AK132" i="56"/>
  <c r="AI132" i="56"/>
  <c r="AL132" i="56" s="1"/>
  <c r="AM132" i="56"/>
  <c r="AO132" i="56"/>
  <c r="AK133" i="56"/>
  <c r="AI133" i="56"/>
  <c r="AM133" i="56"/>
  <c r="AO133" i="56"/>
  <c r="AK134" i="56"/>
  <c r="AI134" i="56"/>
  <c r="AL134" i="56" s="1"/>
  <c r="AM134" i="56"/>
  <c r="AO134" i="56"/>
  <c r="AK135" i="56"/>
  <c r="AI135" i="56"/>
  <c r="AM135" i="56"/>
  <c r="AO135" i="56"/>
  <c r="AK136" i="56"/>
  <c r="AI136" i="56"/>
  <c r="AM136" i="56"/>
  <c r="AO136" i="56"/>
  <c r="AK137" i="56"/>
  <c r="AI137" i="56"/>
  <c r="AM137" i="56"/>
  <c r="AO137" i="56"/>
  <c r="AC147" i="56"/>
  <c r="AD147" i="56"/>
  <c r="D84" i="56"/>
  <c r="C85" i="56"/>
  <c r="D85" i="56"/>
  <c r="D86" i="56"/>
  <c r="D87" i="56"/>
  <c r="Z146" i="56"/>
  <c r="C146" i="56"/>
  <c r="C145" i="56"/>
  <c r="C144" i="56"/>
  <c r="C143" i="56"/>
  <c r="Z142" i="56"/>
  <c r="T141" i="56"/>
  <c r="C142" i="56"/>
  <c r="C141" i="56"/>
  <c r="Z138" i="56"/>
  <c r="C138" i="56"/>
  <c r="Z137" i="56"/>
  <c r="T137" i="56"/>
  <c r="M137" i="56"/>
  <c r="C137" i="56"/>
  <c r="T136" i="56"/>
  <c r="M136" i="56"/>
  <c r="C136" i="56"/>
  <c r="T135" i="56"/>
  <c r="M135" i="56"/>
  <c r="C135" i="56"/>
  <c r="T134" i="56"/>
  <c r="M134" i="56"/>
  <c r="C134" i="56"/>
  <c r="Z133" i="56"/>
  <c r="T133" i="56"/>
  <c r="M133" i="56"/>
  <c r="C133" i="56"/>
  <c r="AJ132" i="56"/>
  <c r="T132" i="56"/>
  <c r="M132" i="56"/>
  <c r="C132" i="56"/>
  <c r="C131" i="56"/>
  <c r="Z130" i="56"/>
  <c r="C130" i="56"/>
  <c r="Z129" i="56"/>
  <c r="T129" i="56"/>
  <c r="M129" i="56"/>
  <c r="C129" i="56"/>
  <c r="AJ128" i="56"/>
  <c r="Z128" i="56"/>
  <c r="T128" i="56"/>
  <c r="M128" i="56"/>
  <c r="C128" i="56"/>
  <c r="T127" i="56"/>
  <c r="M127" i="56"/>
  <c r="C127" i="56"/>
  <c r="AJ126" i="56"/>
  <c r="T126" i="56"/>
  <c r="M126" i="56"/>
  <c r="T125" i="56"/>
  <c r="M125" i="56"/>
  <c r="AJ124" i="56"/>
  <c r="T124" i="56"/>
  <c r="M124" i="56"/>
  <c r="C124" i="56"/>
  <c r="T123" i="56"/>
  <c r="M123" i="56"/>
  <c r="C123" i="56"/>
  <c r="T122" i="56"/>
  <c r="M122" i="56"/>
  <c r="C122" i="56"/>
  <c r="Z121" i="56"/>
  <c r="T121" i="56"/>
  <c r="M121" i="56"/>
  <c r="C121" i="56"/>
  <c r="AJ120" i="56"/>
  <c r="T120" i="56"/>
  <c r="M120" i="56"/>
  <c r="C120" i="56"/>
  <c r="T119" i="56"/>
  <c r="M119" i="56"/>
  <c r="C119" i="56"/>
  <c r="Z118" i="56"/>
  <c r="T118" i="56"/>
  <c r="M118" i="56"/>
  <c r="C118" i="56"/>
  <c r="C117" i="56"/>
  <c r="Z116" i="56"/>
  <c r="C116" i="56"/>
  <c r="T115" i="56"/>
  <c r="M115" i="56"/>
  <c r="C115" i="56"/>
  <c r="AJ114" i="56"/>
  <c r="Z114" i="56"/>
  <c r="T114" i="56"/>
  <c r="M114" i="56"/>
  <c r="C114" i="56"/>
  <c r="Z113" i="56"/>
  <c r="M113" i="56"/>
  <c r="C113" i="56"/>
  <c r="AJ112" i="56"/>
  <c r="T112" i="56"/>
  <c r="M112" i="56"/>
  <c r="C112" i="56"/>
  <c r="T111" i="56"/>
  <c r="M111" i="56"/>
  <c r="C111" i="56"/>
  <c r="AJ110" i="56"/>
  <c r="Z110" i="56"/>
  <c r="T110" i="56"/>
  <c r="M110" i="56"/>
  <c r="C110" i="56"/>
  <c r="M74" i="56"/>
  <c r="B74" i="56"/>
  <c r="B73" i="56"/>
  <c r="M72" i="56"/>
  <c r="B72" i="56"/>
  <c r="B71" i="56"/>
  <c r="B70" i="56"/>
  <c r="M69" i="56"/>
  <c r="B69" i="56"/>
  <c r="M54" i="56"/>
  <c r="O54" i="56" s="1"/>
  <c r="M55" i="56"/>
  <c r="O55" i="56"/>
  <c r="M56" i="56"/>
  <c r="O56" i="56" s="1"/>
  <c r="M57" i="56"/>
  <c r="O57" i="56" s="1"/>
  <c r="M58" i="56"/>
  <c r="O58" i="56"/>
  <c r="M59" i="56"/>
  <c r="O59" i="56"/>
  <c r="M61" i="56"/>
  <c r="I59" i="56"/>
  <c r="F59" i="56"/>
  <c r="G59" i="56" s="1"/>
  <c r="I58" i="56"/>
  <c r="F58" i="56"/>
  <c r="G58" i="56" s="1"/>
  <c r="I57" i="56"/>
  <c r="F57" i="56"/>
  <c r="G57" i="56" s="1"/>
  <c r="I56" i="56"/>
  <c r="F56" i="56"/>
  <c r="G56" i="56" s="1"/>
  <c r="I55" i="56"/>
  <c r="F55" i="56"/>
  <c r="G55" i="56" s="1"/>
  <c r="I54" i="56"/>
  <c r="F54" i="56"/>
  <c r="G54" i="56" s="1"/>
  <c r="AA30" i="56"/>
  <c r="AA34" i="56" s="1"/>
  <c r="D34" i="56"/>
  <c r="D33" i="56"/>
  <c r="D32" i="56"/>
  <c r="D31" i="56"/>
  <c r="D30" i="56"/>
  <c r="I29" i="56"/>
  <c r="D29" i="56"/>
  <c r="X12" i="56"/>
  <c r="X22" i="56"/>
  <c r="X24" i="56" s="1"/>
  <c r="W12" i="56"/>
  <c r="V12" i="56"/>
  <c r="V22" i="56"/>
  <c r="V24" i="56" s="1"/>
  <c r="U12" i="56"/>
  <c r="T12" i="56"/>
  <c r="T22" i="56"/>
  <c r="T24" i="56" s="1"/>
  <c r="S12" i="56"/>
  <c r="X14" i="56"/>
  <c r="X16" i="56" s="1"/>
  <c r="V14" i="56"/>
  <c r="V23" i="56"/>
  <c r="T14" i="56"/>
  <c r="T16" i="56" s="1"/>
  <c r="T23" i="56"/>
  <c r="V16" i="56"/>
  <c r="L21" i="56"/>
  <c r="K21" i="56"/>
  <c r="J21" i="56"/>
  <c r="I21" i="56"/>
  <c r="L20" i="56"/>
  <c r="K20" i="56"/>
  <c r="J20" i="56"/>
  <c r="I20" i="56"/>
  <c r="L19" i="56"/>
  <c r="K19" i="56"/>
  <c r="J19" i="56"/>
  <c r="I19" i="56"/>
  <c r="L18" i="56"/>
  <c r="K18" i="56"/>
  <c r="J18" i="56"/>
  <c r="I18" i="56"/>
  <c r="L17" i="56"/>
  <c r="K17" i="56"/>
  <c r="J17" i="56"/>
  <c r="I17" i="56"/>
  <c r="L16" i="56"/>
  <c r="K16" i="56"/>
  <c r="J16" i="56"/>
  <c r="I16" i="56"/>
  <c r="D10" i="56"/>
  <c r="D94" i="57"/>
  <c r="F94" i="57"/>
  <c r="E94" i="57"/>
  <c r="C94" i="57"/>
  <c r="D55" i="57"/>
  <c r="F95" i="57"/>
  <c r="E95" i="57"/>
  <c r="C42" i="57"/>
  <c r="C95" i="57" s="1"/>
  <c r="D56" i="57"/>
  <c r="F96" i="57"/>
  <c r="G96" i="57" s="1"/>
  <c r="E96" i="57"/>
  <c r="C43" i="57"/>
  <c r="L47" i="57" s="1"/>
  <c r="D57" i="57"/>
  <c r="F97" i="57"/>
  <c r="E97" i="57"/>
  <c r="G97" i="57"/>
  <c r="C44" i="57"/>
  <c r="C97" i="57"/>
  <c r="D58" i="57"/>
  <c r="D98" i="57" s="1"/>
  <c r="F98" i="57"/>
  <c r="E98" i="57"/>
  <c r="C45" i="57"/>
  <c r="C98" i="57"/>
  <c r="D59" i="57"/>
  <c r="F99" i="57"/>
  <c r="E99" i="57"/>
  <c r="G99" i="57"/>
  <c r="C46" i="57"/>
  <c r="D179" i="57"/>
  <c r="K55" i="57"/>
  <c r="L55" i="57"/>
  <c r="K56" i="57"/>
  <c r="L56" i="57" s="1"/>
  <c r="D71" i="57" s="1"/>
  <c r="K57" i="57"/>
  <c r="L57" i="57" s="1"/>
  <c r="D72" i="57" s="1"/>
  <c r="K58" i="57"/>
  <c r="L58" i="57"/>
  <c r="D73" i="57" s="1"/>
  <c r="K59" i="57"/>
  <c r="L59" i="57"/>
  <c r="D74" i="57" s="1"/>
  <c r="G17" i="57"/>
  <c r="H17" i="57" s="1"/>
  <c r="G18" i="57"/>
  <c r="G19" i="57"/>
  <c r="G20" i="57"/>
  <c r="G21" i="57"/>
  <c r="H21" i="57" s="1"/>
  <c r="C30" i="57"/>
  <c r="H30" i="57"/>
  <c r="C31" i="57"/>
  <c r="L31" i="57" s="1"/>
  <c r="C32" i="57"/>
  <c r="L32" i="57" s="1"/>
  <c r="H32" i="57"/>
  <c r="C33" i="57"/>
  <c r="C34" i="57"/>
  <c r="H34" i="57" s="1"/>
  <c r="J35" i="57"/>
  <c r="L30" i="57"/>
  <c r="L34" i="57"/>
  <c r="L70" i="57"/>
  <c r="L71" i="57"/>
  <c r="M71" i="57" s="1"/>
  <c r="L72" i="57"/>
  <c r="M72" i="57" s="1"/>
  <c r="L73" i="57"/>
  <c r="M73" i="57" s="1"/>
  <c r="L74" i="57"/>
  <c r="M42" i="57"/>
  <c r="M44" i="57"/>
  <c r="M45" i="57"/>
  <c r="D70" i="57"/>
  <c r="H70" i="57"/>
  <c r="H71" i="57"/>
  <c r="H72" i="57"/>
  <c r="H73" i="57"/>
  <c r="H74" i="57"/>
  <c r="AA110" i="57"/>
  <c r="Y110" i="57"/>
  <c r="AB110" i="57" s="1"/>
  <c r="AC110" i="57"/>
  <c r="AD110" i="57"/>
  <c r="AA111" i="57"/>
  <c r="Y111" i="57"/>
  <c r="AB111" i="57"/>
  <c r="AC111" i="57"/>
  <c r="AD111" i="57"/>
  <c r="AA112" i="57"/>
  <c r="AE112" i="57" s="1"/>
  <c r="AF112" i="57" s="1"/>
  <c r="Y112" i="57"/>
  <c r="AB112" i="57" s="1"/>
  <c r="AC112" i="57"/>
  <c r="AD112" i="57"/>
  <c r="AA113" i="57"/>
  <c r="Y113" i="57"/>
  <c r="AB113" i="57"/>
  <c r="AC113" i="57"/>
  <c r="AD113" i="57"/>
  <c r="AA114" i="57"/>
  <c r="Y114" i="57"/>
  <c r="AB114" i="57" s="1"/>
  <c r="AC114" i="57"/>
  <c r="AD114" i="57"/>
  <c r="AA115" i="57"/>
  <c r="Y115" i="57"/>
  <c r="AB115" i="57"/>
  <c r="AC115" i="57"/>
  <c r="AD115" i="57"/>
  <c r="AA116" i="57"/>
  <c r="Y116" i="57"/>
  <c r="AB116" i="57" s="1"/>
  <c r="AC116" i="57"/>
  <c r="AD116" i="57"/>
  <c r="AA117" i="57"/>
  <c r="Y117" i="57"/>
  <c r="AB117" i="57"/>
  <c r="AC117" i="57"/>
  <c r="AD117" i="57"/>
  <c r="AA118" i="57"/>
  <c r="Y118" i="57"/>
  <c r="AB118" i="57" s="1"/>
  <c r="AC118" i="57"/>
  <c r="AD118" i="57"/>
  <c r="AA119" i="57"/>
  <c r="Y119" i="57"/>
  <c r="AB119" i="57" s="1"/>
  <c r="AC119" i="57"/>
  <c r="AD119" i="57"/>
  <c r="AA120" i="57"/>
  <c r="Y120" i="57"/>
  <c r="AC120" i="57"/>
  <c r="AD120" i="57"/>
  <c r="AA121" i="57"/>
  <c r="Y121" i="57"/>
  <c r="AB121" i="57" s="1"/>
  <c r="AC121" i="57"/>
  <c r="AD121" i="57"/>
  <c r="AA122" i="57"/>
  <c r="Y122" i="57"/>
  <c r="AC122" i="57"/>
  <c r="AD122" i="57"/>
  <c r="AA123" i="57"/>
  <c r="Y123" i="57"/>
  <c r="AB123" i="57" s="1"/>
  <c r="AC123" i="57"/>
  <c r="AD123" i="57"/>
  <c r="AA124" i="57"/>
  <c r="Y124" i="57"/>
  <c r="AB124" i="57" s="1"/>
  <c r="AC124" i="57"/>
  <c r="AD124" i="57"/>
  <c r="AA127" i="57"/>
  <c r="Y127" i="57"/>
  <c r="Z127" i="57" s="1"/>
  <c r="AB127" i="57"/>
  <c r="AC127" i="57"/>
  <c r="AD127" i="57"/>
  <c r="AA128" i="57"/>
  <c r="Y128" i="57"/>
  <c r="AB128" i="57" s="1"/>
  <c r="AC128" i="57"/>
  <c r="AE128" i="57" s="1"/>
  <c r="AF128" i="57" s="1"/>
  <c r="AD128" i="57"/>
  <c r="AA129" i="57"/>
  <c r="Y129" i="57"/>
  <c r="AB129" i="57" s="1"/>
  <c r="AC129" i="57"/>
  <c r="AD129" i="57"/>
  <c r="AA130" i="57"/>
  <c r="AE130" i="57" s="1"/>
  <c r="AF130" i="57" s="1"/>
  <c r="Y130" i="57"/>
  <c r="AB130" i="57" s="1"/>
  <c r="AC130" i="57"/>
  <c r="AD130" i="57"/>
  <c r="AA131" i="57"/>
  <c r="Y131" i="57"/>
  <c r="AB131" i="57"/>
  <c r="AC131" i="57"/>
  <c r="AD131" i="57"/>
  <c r="AA132" i="57"/>
  <c r="Y132" i="57"/>
  <c r="AC132" i="57"/>
  <c r="AD132" i="57"/>
  <c r="AA133" i="57"/>
  <c r="Y133" i="57"/>
  <c r="AB133" i="57"/>
  <c r="AC133" i="57"/>
  <c r="AD133" i="57"/>
  <c r="AA134" i="57"/>
  <c r="Y134" i="57"/>
  <c r="AB134" i="57" s="1"/>
  <c r="AC134" i="57"/>
  <c r="AD134" i="57"/>
  <c r="AA135" i="57"/>
  <c r="Y135" i="57"/>
  <c r="AC135" i="57"/>
  <c r="AD135" i="57"/>
  <c r="AA136" i="57"/>
  <c r="Y136" i="57"/>
  <c r="AB136" i="57" s="1"/>
  <c r="AC136" i="57"/>
  <c r="AD136" i="57"/>
  <c r="AA137" i="57"/>
  <c r="Y137" i="57"/>
  <c r="AB137" i="57"/>
  <c r="AC137" i="57"/>
  <c r="AD137" i="57"/>
  <c r="AA138" i="57"/>
  <c r="Y138" i="57"/>
  <c r="AB138" i="57" s="1"/>
  <c r="AC138" i="57"/>
  <c r="AD138" i="57"/>
  <c r="AE138" i="57"/>
  <c r="AF138" i="57" s="1"/>
  <c r="AA141" i="57"/>
  <c r="Y141" i="57"/>
  <c r="AB141" i="57" s="1"/>
  <c r="AC141" i="57"/>
  <c r="AD141" i="57"/>
  <c r="AA142" i="57"/>
  <c r="Y142" i="57"/>
  <c r="AC142" i="57"/>
  <c r="AD142" i="57"/>
  <c r="AA143" i="57"/>
  <c r="Y143" i="57"/>
  <c r="AB143" i="57"/>
  <c r="AC143" i="57"/>
  <c r="AD143" i="57"/>
  <c r="AA144" i="57"/>
  <c r="Y144" i="57"/>
  <c r="AB144" i="57" s="1"/>
  <c r="AC144" i="57"/>
  <c r="AD144" i="57"/>
  <c r="AA145" i="57"/>
  <c r="Y145" i="57"/>
  <c r="AB145" i="57"/>
  <c r="AC145" i="57"/>
  <c r="AD145" i="57"/>
  <c r="AA146" i="57"/>
  <c r="Y146" i="57"/>
  <c r="AB146" i="57" s="1"/>
  <c r="AC146" i="57"/>
  <c r="AE146" i="57" s="1"/>
  <c r="AF146" i="57" s="1"/>
  <c r="AD146" i="57"/>
  <c r="AA147" i="57"/>
  <c r="AO142" i="57"/>
  <c r="AN143" i="57"/>
  <c r="AP141" i="57"/>
  <c r="AQ141" i="57" s="1"/>
  <c r="AK110" i="57"/>
  <c r="AI110" i="57"/>
  <c r="AL110" i="57" s="1"/>
  <c r="AM110" i="57"/>
  <c r="AO110" i="57"/>
  <c r="AK111" i="57"/>
  <c r="AI111" i="57"/>
  <c r="AJ111" i="57" s="1"/>
  <c r="AM111" i="57"/>
  <c r="AO111" i="57"/>
  <c r="AK112" i="57"/>
  <c r="AI112" i="57"/>
  <c r="AM112" i="57"/>
  <c r="AO112" i="57"/>
  <c r="AK113" i="57"/>
  <c r="AI113" i="57"/>
  <c r="AL113" i="57" s="1"/>
  <c r="AM113" i="57"/>
  <c r="AO113" i="57"/>
  <c r="AK114" i="57"/>
  <c r="AI114" i="57"/>
  <c r="AJ114" i="57" s="1"/>
  <c r="AL114" i="57"/>
  <c r="AM114" i="57"/>
  <c r="AO114" i="57"/>
  <c r="AK115" i="57"/>
  <c r="AI115" i="57"/>
  <c r="AL115" i="57"/>
  <c r="AM115" i="57"/>
  <c r="AO115" i="57"/>
  <c r="AK118" i="57"/>
  <c r="AI118" i="57"/>
  <c r="AJ118" i="57" s="1"/>
  <c r="AM118" i="57"/>
  <c r="AO118" i="57"/>
  <c r="AK119" i="57"/>
  <c r="AI119" i="57"/>
  <c r="AL119" i="57"/>
  <c r="AM119" i="57"/>
  <c r="AO119" i="57"/>
  <c r="AK120" i="57"/>
  <c r="AI120" i="57"/>
  <c r="AL120" i="57"/>
  <c r="AM120" i="57"/>
  <c r="AO120" i="57"/>
  <c r="AK121" i="57"/>
  <c r="AI121" i="57"/>
  <c r="AJ121" i="57" s="1"/>
  <c r="AL121" i="57"/>
  <c r="AM121" i="57"/>
  <c r="AO121" i="57"/>
  <c r="AK122" i="57"/>
  <c r="AI122" i="57"/>
  <c r="AL122" i="57"/>
  <c r="AM122" i="57"/>
  <c r="AO122" i="57"/>
  <c r="AK123" i="57"/>
  <c r="AI123" i="57"/>
  <c r="AL123" i="57"/>
  <c r="AM123" i="57"/>
  <c r="AO123" i="57"/>
  <c r="AK124" i="57"/>
  <c r="AI124" i="57"/>
  <c r="AL124" i="57" s="1"/>
  <c r="AM124" i="57"/>
  <c r="AO124" i="57"/>
  <c r="AK125" i="57"/>
  <c r="AI125" i="57"/>
  <c r="AJ125" i="57" s="1"/>
  <c r="AM125" i="57"/>
  <c r="AO125" i="57"/>
  <c r="AK126" i="57"/>
  <c r="AI126" i="57"/>
  <c r="AM126" i="57"/>
  <c r="AO126" i="57"/>
  <c r="AK127" i="57"/>
  <c r="AI127" i="57"/>
  <c r="AL127" i="57" s="1"/>
  <c r="AM127" i="57"/>
  <c r="AO127" i="57"/>
  <c r="AK128" i="57"/>
  <c r="AI128" i="57"/>
  <c r="AJ128" i="57" s="1"/>
  <c r="AL128" i="57"/>
  <c r="AM128" i="57"/>
  <c r="AO128" i="57"/>
  <c r="AK129" i="57"/>
  <c r="AI129" i="57"/>
  <c r="AL129" i="57"/>
  <c r="AM129" i="57"/>
  <c r="AO129" i="57"/>
  <c r="AK132" i="57"/>
  <c r="AI132" i="57"/>
  <c r="AJ132" i="57" s="1"/>
  <c r="AM132" i="57"/>
  <c r="AO132" i="57"/>
  <c r="AK133" i="57"/>
  <c r="AI133" i="57"/>
  <c r="AL133" i="57"/>
  <c r="AM133" i="57"/>
  <c r="AO133" i="57"/>
  <c r="AK134" i="57"/>
  <c r="AI134" i="57"/>
  <c r="AL134" i="57"/>
  <c r="AM134" i="57"/>
  <c r="AO134" i="57"/>
  <c r="AK135" i="57"/>
  <c r="AI135" i="57"/>
  <c r="AJ135" i="57" s="1"/>
  <c r="AL135" i="57"/>
  <c r="AM135" i="57"/>
  <c r="AO135" i="57"/>
  <c r="AK136" i="57"/>
  <c r="AI136" i="57"/>
  <c r="AL136" i="57"/>
  <c r="AM136" i="57"/>
  <c r="AO136" i="57"/>
  <c r="AK137" i="57"/>
  <c r="AI137" i="57"/>
  <c r="AL137" i="57"/>
  <c r="AM137" i="57"/>
  <c r="AO137" i="57"/>
  <c r="AC147" i="57"/>
  <c r="AD147" i="57"/>
  <c r="E83" i="57"/>
  <c r="C83" i="57"/>
  <c r="C85" i="57"/>
  <c r="C86" i="57"/>
  <c r="D86" i="57"/>
  <c r="Z146" i="57"/>
  <c r="C146" i="57"/>
  <c r="Z145" i="57"/>
  <c r="C145" i="57"/>
  <c r="Z144" i="57"/>
  <c r="C144" i="57"/>
  <c r="Z143" i="57"/>
  <c r="C143" i="57"/>
  <c r="T141" i="57"/>
  <c r="C142" i="57"/>
  <c r="C141" i="57"/>
  <c r="C138" i="57"/>
  <c r="AJ137" i="57"/>
  <c r="Z137" i="57"/>
  <c r="T137" i="57"/>
  <c r="M137" i="57"/>
  <c r="C137" i="57"/>
  <c r="AJ136" i="57"/>
  <c r="T136" i="57"/>
  <c r="M136" i="57"/>
  <c r="C136" i="57"/>
  <c r="T135" i="57"/>
  <c r="M135" i="57"/>
  <c r="C135" i="57"/>
  <c r="AJ134" i="57"/>
  <c r="T134" i="57"/>
  <c r="M134" i="57"/>
  <c r="C134" i="57"/>
  <c r="AJ133" i="57"/>
  <c r="Z133" i="57"/>
  <c r="T133" i="57"/>
  <c r="M133" i="57"/>
  <c r="C133" i="57"/>
  <c r="T132" i="57"/>
  <c r="M132" i="57"/>
  <c r="C132" i="57"/>
  <c r="Z131" i="57"/>
  <c r="C131" i="57"/>
  <c r="Z130" i="57"/>
  <c r="C130" i="57"/>
  <c r="AJ129" i="57"/>
  <c r="Z129" i="57"/>
  <c r="T129" i="57"/>
  <c r="M129" i="57"/>
  <c r="C129" i="57"/>
  <c r="Z128" i="57"/>
  <c r="T128" i="57"/>
  <c r="M128" i="57"/>
  <c r="C128" i="57"/>
  <c r="T127" i="57"/>
  <c r="M127" i="57"/>
  <c r="C127" i="57"/>
  <c r="T126" i="57"/>
  <c r="M126" i="57"/>
  <c r="T125" i="57"/>
  <c r="M125" i="57"/>
  <c r="AJ124" i="57"/>
  <c r="T124" i="57"/>
  <c r="M124" i="57"/>
  <c r="C124" i="57"/>
  <c r="AJ123" i="57"/>
  <c r="Z123" i="57"/>
  <c r="T123" i="57"/>
  <c r="M123" i="57"/>
  <c r="C123" i="57"/>
  <c r="AJ122" i="57"/>
  <c r="T122" i="57"/>
  <c r="M122" i="57"/>
  <c r="C122" i="57"/>
  <c r="Z121" i="57"/>
  <c r="T121" i="57"/>
  <c r="M121" i="57"/>
  <c r="C121" i="57"/>
  <c r="AJ120" i="57"/>
  <c r="T120" i="57"/>
  <c r="M120" i="57"/>
  <c r="C120" i="57"/>
  <c r="AJ119" i="57"/>
  <c r="T119" i="57"/>
  <c r="M119" i="57"/>
  <c r="C119" i="57"/>
  <c r="Z118" i="57"/>
  <c r="T118" i="57"/>
  <c r="M118" i="57"/>
  <c r="C118" i="57"/>
  <c r="Z117" i="57"/>
  <c r="C117" i="57"/>
  <c r="Z116" i="57"/>
  <c r="C116" i="57"/>
  <c r="AJ115" i="57"/>
  <c r="Z115" i="57"/>
  <c r="T115" i="57"/>
  <c r="M115" i="57"/>
  <c r="C115" i="57"/>
  <c r="Z114" i="57"/>
  <c r="T114" i="57"/>
  <c r="M114" i="57"/>
  <c r="C114" i="57"/>
  <c r="AJ113" i="57"/>
  <c r="Z113" i="57"/>
  <c r="T113" i="57"/>
  <c r="M113" i="57"/>
  <c r="C113" i="57"/>
  <c r="T112" i="57"/>
  <c r="M112" i="57"/>
  <c r="C112" i="57"/>
  <c r="Z111" i="57"/>
  <c r="T111" i="57"/>
  <c r="M111" i="57"/>
  <c r="C111" i="57"/>
  <c r="AJ110" i="57"/>
  <c r="Z110" i="57"/>
  <c r="T110" i="57"/>
  <c r="M110" i="57"/>
  <c r="C110" i="57"/>
  <c r="M74" i="57"/>
  <c r="B74" i="57"/>
  <c r="B73" i="57"/>
  <c r="B72" i="57"/>
  <c r="B71" i="57"/>
  <c r="M70" i="57"/>
  <c r="B70" i="57"/>
  <c r="M69" i="57"/>
  <c r="B69" i="57"/>
  <c r="M54" i="57"/>
  <c r="O54" i="57" s="1"/>
  <c r="M55" i="57"/>
  <c r="O55" i="57" s="1"/>
  <c r="M56" i="57"/>
  <c r="O56" i="57" s="1"/>
  <c r="M57" i="57"/>
  <c r="O57" i="57" s="1"/>
  <c r="M58" i="57"/>
  <c r="O58" i="57" s="1"/>
  <c r="M59" i="57"/>
  <c r="O59" i="57" s="1"/>
  <c r="M61" i="57"/>
  <c r="I59" i="57"/>
  <c r="F59" i="57"/>
  <c r="G59" i="57" s="1"/>
  <c r="I58" i="57"/>
  <c r="F58" i="57"/>
  <c r="G58" i="57" s="1"/>
  <c r="I57" i="57"/>
  <c r="F57" i="57"/>
  <c r="G57" i="57" s="1"/>
  <c r="I56" i="57"/>
  <c r="F56" i="57"/>
  <c r="G56" i="57" s="1"/>
  <c r="I55" i="57"/>
  <c r="F55" i="57"/>
  <c r="G55" i="57"/>
  <c r="I54" i="57"/>
  <c r="F54" i="57"/>
  <c r="G54" i="57" s="1"/>
  <c r="AA30" i="57"/>
  <c r="AA35" i="57" s="1"/>
  <c r="AA34" i="57"/>
  <c r="I34" i="57"/>
  <c r="D34" i="57"/>
  <c r="D33" i="57"/>
  <c r="I32" i="57"/>
  <c r="D32" i="57"/>
  <c r="I31" i="57"/>
  <c r="D31" i="57"/>
  <c r="I30" i="57"/>
  <c r="D30" i="57"/>
  <c r="I29" i="57"/>
  <c r="D29" i="57"/>
  <c r="X12" i="57"/>
  <c r="X22" i="57" s="1"/>
  <c r="X24" i="57" s="1"/>
  <c r="W12" i="57"/>
  <c r="W22" i="57"/>
  <c r="W24" i="57" s="1"/>
  <c r="V12" i="57"/>
  <c r="U12" i="57"/>
  <c r="U14" i="57" s="1"/>
  <c r="U22" i="57"/>
  <c r="U24" i="57" s="1"/>
  <c r="T12" i="57"/>
  <c r="T22" i="57" s="1"/>
  <c r="T24" i="57" s="1"/>
  <c r="S12" i="57"/>
  <c r="S14" i="57" s="1"/>
  <c r="S16" i="57" s="1"/>
  <c r="S22" i="57"/>
  <c r="S24" i="57" s="1"/>
  <c r="X14" i="57"/>
  <c r="W14" i="57"/>
  <c r="S23" i="57"/>
  <c r="L21" i="57"/>
  <c r="K21" i="57"/>
  <c r="J21" i="57"/>
  <c r="I21" i="57"/>
  <c r="L20" i="57"/>
  <c r="K20" i="57"/>
  <c r="J20" i="57"/>
  <c r="I20" i="57"/>
  <c r="L19" i="57"/>
  <c r="K19" i="57"/>
  <c r="J19" i="57"/>
  <c r="I19" i="57"/>
  <c r="L18" i="57"/>
  <c r="K18" i="57"/>
  <c r="J18" i="57"/>
  <c r="I18" i="57"/>
  <c r="L17" i="57"/>
  <c r="K17" i="57"/>
  <c r="J17" i="57"/>
  <c r="I17" i="57"/>
  <c r="L16" i="57"/>
  <c r="K16" i="57"/>
  <c r="J16" i="57"/>
  <c r="I16" i="57"/>
  <c r="D10" i="57"/>
  <c r="AP141" i="58"/>
  <c r="AQ141" i="58"/>
  <c r="AK136" i="58"/>
  <c r="AO136" i="58"/>
  <c r="AI135" i="58"/>
  <c r="AJ135" i="58" s="1"/>
  <c r="AL135" i="58"/>
  <c r="AP135" i="58" s="1"/>
  <c r="AQ135" i="58" s="1"/>
  <c r="AK135" i="58"/>
  <c r="AM135" i="58"/>
  <c r="AO135" i="58"/>
  <c r="AI134" i="58"/>
  <c r="AL134" i="58" s="1"/>
  <c r="AK134" i="58"/>
  <c r="AM134" i="58"/>
  <c r="AO134" i="58"/>
  <c r="AI133" i="58"/>
  <c r="AL133" i="58"/>
  <c r="AK133" i="58"/>
  <c r="AP133" i="58" s="1"/>
  <c r="AQ133" i="58" s="1"/>
  <c r="AM133" i="58"/>
  <c r="AO133" i="58"/>
  <c r="AI132" i="58"/>
  <c r="AL132" i="58" s="1"/>
  <c r="AK132" i="58"/>
  <c r="AM132" i="58"/>
  <c r="AO132" i="58"/>
  <c r="AM129" i="58"/>
  <c r="AM128" i="58"/>
  <c r="AO128" i="58"/>
  <c r="AI127" i="58"/>
  <c r="AK127" i="58"/>
  <c r="AM127" i="58"/>
  <c r="AO127" i="58"/>
  <c r="AI126" i="58"/>
  <c r="AL126" i="58" s="1"/>
  <c r="AK126" i="58"/>
  <c r="AM126" i="58"/>
  <c r="AO126" i="58"/>
  <c r="AI125" i="58"/>
  <c r="AL125" i="58" s="1"/>
  <c r="AK125" i="58"/>
  <c r="AM125" i="58"/>
  <c r="AO125" i="58"/>
  <c r="AI124" i="58"/>
  <c r="AL124" i="58"/>
  <c r="AP124" i="58" s="1"/>
  <c r="AQ124" i="58" s="1"/>
  <c r="AK124" i="58"/>
  <c r="AM124" i="58"/>
  <c r="AO124" i="58"/>
  <c r="AI123" i="58"/>
  <c r="AL123" i="58" s="1"/>
  <c r="AK123" i="58"/>
  <c r="AM123" i="58"/>
  <c r="AO123" i="58"/>
  <c r="AI122" i="58"/>
  <c r="AL122" i="58"/>
  <c r="AK122" i="58"/>
  <c r="AM122" i="58"/>
  <c r="AP122" i="58" s="1"/>
  <c r="AQ122" i="58" s="1"/>
  <c r="AO122" i="58"/>
  <c r="AI121" i="58"/>
  <c r="AL121" i="58" s="1"/>
  <c r="AK121" i="58"/>
  <c r="AM121" i="58"/>
  <c r="AO121" i="58"/>
  <c r="AI120" i="58"/>
  <c r="AL120" i="58"/>
  <c r="AK120" i="58"/>
  <c r="AM120" i="58"/>
  <c r="AO120" i="58"/>
  <c r="AI119" i="58"/>
  <c r="AL119" i="58" s="1"/>
  <c r="AK119" i="58"/>
  <c r="AM119" i="58"/>
  <c r="AO119" i="58"/>
  <c r="AI118" i="58"/>
  <c r="AL118" i="58"/>
  <c r="AK118" i="58"/>
  <c r="AM118" i="58"/>
  <c r="AO118" i="58"/>
  <c r="AP118" i="58" s="1"/>
  <c r="AQ118" i="58" s="1"/>
  <c r="AO115" i="58"/>
  <c r="AK114" i="58"/>
  <c r="AM114" i="58"/>
  <c r="AO114" i="58"/>
  <c r="AI113" i="58"/>
  <c r="AL113" i="58" s="1"/>
  <c r="AK113" i="58"/>
  <c r="AM113" i="58"/>
  <c r="AO113" i="58"/>
  <c r="AI112" i="58"/>
  <c r="AL112" i="58"/>
  <c r="AK112" i="58"/>
  <c r="AP112" i="58" s="1"/>
  <c r="AQ112" i="58" s="1"/>
  <c r="AM112" i="58"/>
  <c r="AO112" i="58"/>
  <c r="AI110" i="58"/>
  <c r="AL110" i="58" s="1"/>
  <c r="AK110" i="58"/>
  <c r="AM110" i="58"/>
  <c r="AO110" i="58"/>
  <c r="AI111" i="58"/>
  <c r="AL111" i="58"/>
  <c r="AK111" i="58"/>
  <c r="AP111" i="58" s="1"/>
  <c r="AQ111" i="58" s="1"/>
  <c r="AM111" i="58"/>
  <c r="AO111" i="58"/>
  <c r="AA147" i="58"/>
  <c r="AC147" i="58"/>
  <c r="AD147" i="58"/>
  <c r="Y144" i="58"/>
  <c r="AB144" i="58"/>
  <c r="AA144" i="58"/>
  <c r="AC144" i="58"/>
  <c r="AD144" i="58"/>
  <c r="Y143" i="58"/>
  <c r="AA143" i="58"/>
  <c r="AC143" i="58"/>
  <c r="AD143" i="58"/>
  <c r="Y142" i="58"/>
  <c r="AA142" i="58"/>
  <c r="AC142" i="58"/>
  <c r="AD142" i="58"/>
  <c r="AA141" i="58"/>
  <c r="Y141" i="58"/>
  <c r="Z141" i="58" s="1"/>
  <c r="AC141" i="58"/>
  <c r="AD141" i="58"/>
  <c r="AB137" i="58"/>
  <c r="AB135" i="58"/>
  <c r="AB119" i="58"/>
  <c r="AB117" i="58"/>
  <c r="AA110" i="58"/>
  <c r="AB110" i="58"/>
  <c r="AB113" i="58"/>
  <c r="T141" i="58"/>
  <c r="T133" i="58"/>
  <c r="T134" i="58"/>
  <c r="T135" i="58"/>
  <c r="T136" i="58"/>
  <c r="T137" i="58"/>
  <c r="T132" i="58"/>
  <c r="T119" i="58"/>
  <c r="T120" i="58"/>
  <c r="T121" i="58"/>
  <c r="T122" i="58"/>
  <c r="T123" i="58"/>
  <c r="T124" i="58"/>
  <c r="T126" i="58"/>
  <c r="T127" i="58"/>
  <c r="T128" i="58"/>
  <c r="T129" i="58"/>
  <c r="T118" i="58"/>
  <c r="T111" i="58"/>
  <c r="T112" i="58"/>
  <c r="T113" i="58"/>
  <c r="T114" i="58"/>
  <c r="T115" i="58"/>
  <c r="T110" i="58"/>
  <c r="J35" i="58"/>
  <c r="C42" i="58"/>
  <c r="C43" i="58"/>
  <c r="C44" i="58"/>
  <c r="C45" i="58"/>
  <c r="C46" i="58"/>
  <c r="C30" i="58"/>
  <c r="L30" i="58" s="1"/>
  <c r="C31" i="58"/>
  <c r="C32" i="58"/>
  <c r="L32" i="58" s="1"/>
  <c r="C33" i="58"/>
  <c r="C34" i="58"/>
  <c r="I30" i="58"/>
  <c r="I29" i="58"/>
  <c r="H30" i="58"/>
  <c r="D30" i="58"/>
  <c r="D31" i="58"/>
  <c r="D32" i="58"/>
  <c r="D33" i="58"/>
  <c r="D34" i="58"/>
  <c r="T12" i="58"/>
  <c r="U12" i="58"/>
  <c r="U22" i="58"/>
  <c r="U24" i="58" s="1"/>
  <c r="V12" i="58"/>
  <c r="V22" i="58" s="1"/>
  <c r="V24" i="58"/>
  <c r="W12" i="58"/>
  <c r="W14" i="58" s="1"/>
  <c r="X12" i="58"/>
  <c r="S12" i="58"/>
  <c r="S14" i="58" s="1"/>
  <c r="U14" i="58"/>
  <c r="V14" i="58"/>
  <c r="V23" i="58" s="1"/>
  <c r="AA30" i="58"/>
  <c r="AA34" i="58" s="1"/>
  <c r="D29" i="58"/>
  <c r="AA35" i="58"/>
  <c r="D10" i="58"/>
  <c r="D54" i="58"/>
  <c r="F94" i="58"/>
  <c r="G94" i="58" s="1"/>
  <c r="E94" i="58"/>
  <c r="C94" i="58"/>
  <c r="D55" i="58"/>
  <c r="F95" i="58"/>
  <c r="E95" i="58"/>
  <c r="D56" i="58"/>
  <c r="F96" i="58"/>
  <c r="G96" i="58" s="1"/>
  <c r="E96" i="58"/>
  <c r="D57" i="58"/>
  <c r="D97" i="58" s="1"/>
  <c r="F97" i="58"/>
  <c r="E97" i="58"/>
  <c r="D58" i="58"/>
  <c r="F98" i="58"/>
  <c r="G98" i="58" s="1"/>
  <c r="E98" i="58"/>
  <c r="D59" i="58"/>
  <c r="D87" i="58" s="1"/>
  <c r="D99" i="58"/>
  <c r="F99" i="58"/>
  <c r="E99" i="58"/>
  <c r="L70" i="58"/>
  <c r="L71" i="58"/>
  <c r="M71" i="58" s="1"/>
  <c r="L72" i="58"/>
  <c r="M72" i="58" s="1"/>
  <c r="L73" i="58"/>
  <c r="M73" i="58" s="1"/>
  <c r="L74" i="58"/>
  <c r="M74" i="58" s="1"/>
  <c r="M69" i="58"/>
  <c r="M54" i="58"/>
  <c r="O54" i="58"/>
  <c r="M55" i="58"/>
  <c r="O55" i="58"/>
  <c r="M56" i="58"/>
  <c r="M60" i="58" s="1"/>
  <c r="M62" i="58" s="1"/>
  <c r="M57" i="58"/>
  <c r="O57" i="58" s="1"/>
  <c r="M58" i="58"/>
  <c r="O58" i="58"/>
  <c r="M59" i="58"/>
  <c r="O59" i="58"/>
  <c r="F22" i="58"/>
  <c r="M61" i="58" s="1"/>
  <c r="B70" i="58"/>
  <c r="B71" i="58"/>
  <c r="B72" i="58"/>
  <c r="B73" i="58"/>
  <c r="B74" i="58"/>
  <c r="B69" i="58"/>
  <c r="D179" i="58"/>
  <c r="C82" i="58"/>
  <c r="E82" i="58"/>
  <c r="F82" i="58"/>
  <c r="G17" i="58"/>
  <c r="E83" i="58"/>
  <c r="G18" i="58"/>
  <c r="E84" i="58"/>
  <c r="G19" i="58"/>
  <c r="H19" i="58" s="1"/>
  <c r="E85" i="58"/>
  <c r="G20" i="58"/>
  <c r="E86" i="58"/>
  <c r="G21" i="58"/>
  <c r="H21" i="58" s="1"/>
  <c r="E87" i="58"/>
  <c r="F54" i="58"/>
  <c r="G54" i="58" s="1"/>
  <c r="K55" i="58"/>
  <c r="L55" i="58" s="1"/>
  <c r="D70" i="58" s="1"/>
  <c r="K56" i="58"/>
  <c r="L56" i="58" s="1"/>
  <c r="D71" i="58" s="1"/>
  <c r="K57" i="58"/>
  <c r="L57" i="58" s="1"/>
  <c r="D72" i="58" s="1"/>
  <c r="K58" i="58"/>
  <c r="L58" i="58" s="1"/>
  <c r="D73" i="58" s="1"/>
  <c r="K59" i="58"/>
  <c r="L59" i="58" s="1"/>
  <c r="L60" i="58" s="1"/>
  <c r="D155" i="58" s="1"/>
  <c r="H70" i="58"/>
  <c r="H71" i="58"/>
  <c r="H72" i="58"/>
  <c r="H73" i="58"/>
  <c r="H74" i="58"/>
  <c r="Y110" i="58"/>
  <c r="Z110" i="58" s="1"/>
  <c r="AC110" i="58"/>
  <c r="AD110" i="58"/>
  <c r="Y111" i="58"/>
  <c r="Z111" i="58" s="1"/>
  <c r="AA111" i="58"/>
  <c r="AC111" i="58"/>
  <c r="AD111" i="58"/>
  <c r="Y112" i="58"/>
  <c r="AA112" i="58"/>
  <c r="AC112" i="58"/>
  <c r="AD112" i="58"/>
  <c r="Y113" i="58"/>
  <c r="Z113" i="58" s="1"/>
  <c r="AA113" i="58"/>
  <c r="AC113" i="58"/>
  <c r="AD113" i="58"/>
  <c r="Y114" i="58"/>
  <c r="AA114" i="58"/>
  <c r="AC114" i="58"/>
  <c r="AD114" i="58"/>
  <c r="Y115" i="58"/>
  <c r="Z115" i="58" s="1"/>
  <c r="AA115" i="58"/>
  <c r="AC115" i="58"/>
  <c r="AD115" i="58"/>
  <c r="Y116" i="58"/>
  <c r="AB116" i="58" s="1"/>
  <c r="AA116" i="58"/>
  <c r="AC116" i="58"/>
  <c r="AD116" i="58"/>
  <c r="Y117" i="58"/>
  <c r="AA117" i="58"/>
  <c r="AC117" i="58"/>
  <c r="AD117" i="58"/>
  <c r="Y118" i="58"/>
  <c r="AA118" i="58"/>
  <c r="AC118" i="58"/>
  <c r="AD118" i="58"/>
  <c r="Y119" i="58"/>
  <c r="Z119" i="58" s="1"/>
  <c r="AA119" i="58"/>
  <c r="AC119" i="58"/>
  <c r="AD119" i="58"/>
  <c r="Y120" i="58"/>
  <c r="AA120" i="58"/>
  <c r="AC120" i="58"/>
  <c r="AD120" i="58"/>
  <c r="Y121" i="58"/>
  <c r="Z121" i="58" s="1"/>
  <c r="AA121" i="58"/>
  <c r="AC121" i="58"/>
  <c r="AD121" i="58"/>
  <c r="Y122" i="58"/>
  <c r="AB122" i="58" s="1"/>
  <c r="AA122" i="58"/>
  <c r="AC122" i="58"/>
  <c r="AD122" i="58"/>
  <c r="Y123" i="58"/>
  <c r="AB123" i="58" s="1"/>
  <c r="AA123" i="58"/>
  <c r="AC123" i="58"/>
  <c r="AD123" i="58"/>
  <c r="Y124" i="58"/>
  <c r="AB124" i="58" s="1"/>
  <c r="AA124" i="58"/>
  <c r="AC124" i="58"/>
  <c r="AD124" i="58"/>
  <c r="Y127" i="58"/>
  <c r="Z127" i="58" s="1"/>
  <c r="AA127" i="58"/>
  <c r="AC127" i="58"/>
  <c r="AD127" i="58"/>
  <c r="Y128" i="58"/>
  <c r="AA128" i="58"/>
  <c r="AC128" i="58"/>
  <c r="AD128" i="58"/>
  <c r="Y129" i="58"/>
  <c r="Z129" i="58" s="1"/>
  <c r="AA129" i="58"/>
  <c r="AC129" i="58"/>
  <c r="AD129" i="58"/>
  <c r="Y130" i="58"/>
  <c r="AB130" i="58" s="1"/>
  <c r="AA130" i="58"/>
  <c r="AE130" i="58" s="1"/>
  <c r="AF130" i="58" s="1"/>
  <c r="AC130" i="58"/>
  <c r="AD130" i="58"/>
  <c r="Y131" i="58"/>
  <c r="AB131" i="58" s="1"/>
  <c r="AA131" i="58"/>
  <c r="AC131" i="58"/>
  <c r="AD131" i="58"/>
  <c r="Y132" i="58"/>
  <c r="AA132" i="58"/>
  <c r="AC132" i="58"/>
  <c r="AD132" i="58"/>
  <c r="Y133" i="58"/>
  <c r="Z133" i="58" s="1"/>
  <c r="AA133" i="58"/>
  <c r="AC133" i="58"/>
  <c r="AD133" i="58"/>
  <c r="Y134" i="58"/>
  <c r="AA134" i="58"/>
  <c r="AC134" i="58"/>
  <c r="AD134" i="58"/>
  <c r="Y135" i="58"/>
  <c r="Z135" i="58" s="1"/>
  <c r="AA135" i="58"/>
  <c r="AC135" i="58"/>
  <c r="AD135" i="58"/>
  <c r="Y136" i="58"/>
  <c r="AA136" i="58"/>
  <c r="AC136" i="58"/>
  <c r="AD136" i="58"/>
  <c r="Y137" i="58"/>
  <c r="Z137" i="58" s="1"/>
  <c r="AA137" i="58"/>
  <c r="AC137" i="58"/>
  <c r="AD137" i="58"/>
  <c r="Y138" i="58"/>
  <c r="AB138" i="58" s="1"/>
  <c r="AA138" i="58"/>
  <c r="AC138" i="58"/>
  <c r="AE138" i="58" s="1"/>
  <c r="AF138" i="58" s="1"/>
  <c r="AD138" i="58"/>
  <c r="Y145" i="58"/>
  <c r="Z145" i="58" s="1"/>
  <c r="AA145" i="58"/>
  <c r="AC145" i="58"/>
  <c r="AD145" i="58"/>
  <c r="Y146" i="58"/>
  <c r="AA146" i="58"/>
  <c r="AC146" i="58"/>
  <c r="AD146" i="58"/>
  <c r="AI114" i="58"/>
  <c r="AL114" i="58" s="1"/>
  <c r="AI115" i="58"/>
  <c r="AL115" i="58" s="1"/>
  <c r="AK115" i="58"/>
  <c r="AM115" i="58"/>
  <c r="AI128" i="58"/>
  <c r="AK128" i="58"/>
  <c r="AI129" i="58"/>
  <c r="AL129" i="58" s="1"/>
  <c r="AK129" i="58"/>
  <c r="AO129" i="58"/>
  <c r="AI136" i="58"/>
  <c r="AL136" i="58" s="1"/>
  <c r="AM136" i="58"/>
  <c r="AI137" i="58"/>
  <c r="AL137" i="58" s="1"/>
  <c r="AK137" i="58"/>
  <c r="AM137" i="58"/>
  <c r="AO137" i="58"/>
  <c r="AO142" i="58"/>
  <c r="AN143" i="58"/>
  <c r="H18" i="58"/>
  <c r="H17" i="58"/>
  <c r="H20" i="58"/>
  <c r="E60" i="58"/>
  <c r="E167" i="58" s="1"/>
  <c r="J29" i="6" s="1"/>
  <c r="L17" i="58"/>
  <c r="L18" i="58"/>
  <c r="L19" i="58"/>
  <c r="L20" i="58"/>
  <c r="L21" i="58"/>
  <c r="L16" i="58"/>
  <c r="K17" i="58"/>
  <c r="K18" i="58"/>
  <c r="K19" i="58"/>
  <c r="K20" i="58"/>
  <c r="K21" i="58"/>
  <c r="K16" i="58"/>
  <c r="J17" i="58"/>
  <c r="J18" i="58"/>
  <c r="J19" i="58"/>
  <c r="J20" i="58"/>
  <c r="J21" i="58"/>
  <c r="J16" i="58"/>
  <c r="I17" i="58"/>
  <c r="I18" i="58"/>
  <c r="I19" i="58"/>
  <c r="I20" i="58"/>
  <c r="I21" i="58"/>
  <c r="I16" i="58"/>
  <c r="I59" i="58"/>
  <c r="F59" i="58"/>
  <c r="G59" i="58" s="1"/>
  <c r="I58" i="58"/>
  <c r="F58" i="58"/>
  <c r="G58" i="58"/>
  <c r="I57" i="58"/>
  <c r="F57" i="58"/>
  <c r="G57" i="58" s="1"/>
  <c r="I56" i="58"/>
  <c r="F56" i="58"/>
  <c r="G56" i="58"/>
  <c r="I55" i="58"/>
  <c r="F55" i="58"/>
  <c r="G55" i="58" s="1"/>
  <c r="I54" i="58"/>
  <c r="C50" i="51"/>
  <c r="C102" i="51"/>
  <c r="H102" i="51" s="1"/>
  <c r="I208" i="51" s="1"/>
  <c r="N107" i="51"/>
  <c r="N108" i="51"/>
  <c r="O108" i="51" s="1"/>
  <c r="N110" i="51"/>
  <c r="N111" i="51"/>
  <c r="N114" i="51"/>
  <c r="N116" i="51"/>
  <c r="N117" i="51"/>
  <c r="N119" i="51"/>
  <c r="N120" i="51"/>
  <c r="O120" i="51" s="1"/>
  <c r="C43" i="6"/>
  <c r="C19" i="6"/>
  <c r="C44" i="6" s="1"/>
  <c r="C20" i="6"/>
  <c r="C45" i="6" s="1"/>
  <c r="C21" i="6"/>
  <c r="C46" i="6" s="1"/>
  <c r="C22" i="6"/>
  <c r="C47" i="6" s="1"/>
  <c r="C23" i="6"/>
  <c r="C48" i="6" s="1"/>
  <c r="C24" i="6"/>
  <c r="C49" i="6" s="1"/>
  <c r="C25" i="6"/>
  <c r="C50" i="6" s="1"/>
  <c r="C26" i="6"/>
  <c r="C51" i="6" s="1"/>
  <c r="C52" i="6"/>
  <c r="C29" i="6"/>
  <c r="C17" i="6"/>
  <c r="C42" i="6" s="1"/>
  <c r="C146" i="58"/>
  <c r="C145" i="58"/>
  <c r="Z144" i="58"/>
  <c r="C144" i="58"/>
  <c r="C143" i="58"/>
  <c r="C142" i="58"/>
  <c r="C141" i="58"/>
  <c r="Z138" i="58"/>
  <c r="C138" i="58"/>
  <c r="AJ137" i="58"/>
  <c r="M137" i="58"/>
  <c r="C137" i="58"/>
  <c r="M136" i="58"/>
  <c r="C136" i="58"/>
  <c r="M135" i="58"/>
  <c r="C135" i="58"/>
  <c r="AJ134" i="58"/>
  <c r="M134" i="58"/>
  <c r="C134" i="58"/>
  <c r="AJ133" i="58"/>
  <c r="M133" i="58"/>
  <c r="C133" i="58"/>
  <c r="AJ132" i="58"/>
  <c r="M132" i="58"/>
  <c r="C132" i="58"/>
  <c r="C131" i="58"/>
  <c r="Z130" i="58"/>
  <c r="C130" i="58"/>
  <c r="AJ129" i="58"/>
  <c r="M129" i="58"/>
  <c r="C129" i="58"/>
  <c r="M128" i="58"/>
  <c r="C128" i="58"/>
  <c r="M127" i="58"/>
  <c r="C127" i="58"/>
  <c r="AJ126" i="58"/>
  <c r="M126" i="58"/>
  <c r="AJ125" i="58"/>
  <c r="M125" i="58"/>
  <c r="AJ124" i="58"/>
  <c r="Z124" i="58"/>
  <c r="M124" i="58"/>
  <c r="C124" i="58"/>
  <c r="AJ123" i="58"/>
  <c r="M123" i="58"/>
  <c r="C123" i="58"/>
  <c r="AJ122" i="58"/>
  <c r="M122" i="58"/>
  <c r="C122" i="58"/>
  <c r="D359" i="3"/>
  <c r="D374" i="3" s="1"/>
  <c r="AJ121" i="58"/>
  <c r="M121" i="58"/>
  <c r="C121" i="58"/>
  <c r="AJ120" i="58"/>
  <c r="M120" i="58"/>
  <c r="C120" i="58"/>
  <c r="M119" i="58"/>
  <c r="C119" i="58"/>
  <c r="AJ118" i="58"/>
  <c r="M118" i="58"/>
  <c r="C118" i="58"/>
  <c r="Z117" i="58"/>
  <c r="C117" i="58"/>
  <c r="Z116" i="58"/>
  <c r="C116" i="58"/>
  <c r="AJ115" i="58"/>
  <c r="M115" i="58"/>
  <c r="C115" i="58"/>
  <c r="AJ114" i="58"/>
  <c r="M114" i="58"/>
  <c r="C114" i="58"/>
  <c r="AJ113" i="58"/>
  <c r="M113" i="58"/>
  <c r="C113" i="58"/>
  <c r="AJ112" i="58"/>
  <c r="M112" i="58"/>
  <c r="C112" i="58"/>
  <c r="AJ111" i="58"/>
  <c r="M111" i="58"/>
  <c r="C111" i="58"/>
  <c r="D360" i="3"/>
  <c r="D375" i="3" s="1"/>
  <c r="AJ110" i="58"/>
  <c r="M110" i="58"/>
  <c r="C110" i="58"/>
  <c r="C236" i="51"/>
  <c r="E134" i="51"/>
  <c r="E138" i="51" s="1"/>
  <c r="E145" i="51" s="1"/>
  <c r="O7" i="51"/>
  <c r="O9" i="51"/>
  <c r="O11" i="51" s="1"/>
  <c r="O13" i="51" s="1"/>
  <c r="O18" i="51" s="1"/>
  <c r="O17" i="51"/>
  <c r="AI165" i="51"/>
  <c r="AJ165" i="51" s="1"/>
  <c r="AK165" i="51"/>
  <c r="AL165" i="51"/>
  <c r="AM165" i="51"/>
  <c r="AO165" i="51"/>
  <c r="AI166" i="51"/>
  <c r="AL166" i="51" s="1"/>
  <c r="AK166" i="51"/>
  <c r="AM166" i="51"/>
  <c r="AO166" i="51"/>
  <c r="M165" i="51"/>
  <c r="T165" i="51"/>
  <c r="M166" i="51"/>
  <c r="T166" i="51"/>
  <c r="Y161" i="51"/>
  <c r="Z161" i="51" s="1"/>
  <c r="AB161" i="51"/>
  <c r="AA161" i="51"/>
  <c r="AC161" i="51"/>
  <c r="AD161" i="51"/>
  <c r="Y162" i="51"/>
  <c r="AB162" i="51" s="1"/>
  <c r="AA162" i="51"/>
  <c r="AC162" i="51"/>
  <c r="AD162" i="51"/>
  <c r="Y163" i="51"/>
  <c r="AB163" i="51" s="1"/>
  <c r="AA163" i="51"/>
  <c r="AE163" i="51" s="1"/>
  <c r="AF163" i="51" s="1"/>
  <c r="AC163" i="51"/>
  <c r="AD163" i="51"/>
  <c r="Y164" i="51"/>
  <c r="AB164" i="51" s="1"/>
  <c r="AA164" i="51"/>
  <c r="AC164" i="51"/>
  <c r="AD164" i="51"/>
  <c r="Y165" i="51"/>
  <c r="AB165" i="51"/>
  <c r="AE165" i="51" s="1"/>
  <c r="AF165" i="51" s="1"/>
  <c r="AA165" i="51"/>
  <c r="AC165" i="51"/>
  <c r="AD165" i="51"/>
  <c r="Y166" i="51"/>
  <c r="AA166" i="51"/>
  <c r="AC166" i="51"/>
  <c r="AD166" i="51"/>
  <c r="Y167" i="51"/>
  <c r="AB167" i="51"/>
  <c r="AA167" i="51"/>
  <c r="AE167" i="51" s="1"/>
  <c r="AF167" i="51" s="1"/>
  <c r="AC167" i="51"/>
  <c r="AD167" i="51"/>
  <c r="Y168" i="51"/>
  <c r="AB168" i="51" s="1"/>
  <c r="AA168" i="51"/>
  <c r="AC168" i="51"/>
  <c r="AD168" i="51"/>
  <c r="Y169" i="51"/>
  <c r="Z169" i="51" s="1"/>
  <c r="AA169" i="51"/>
  <c r="AC169" i="51"/>
  <c r="AD169" i="51"/>
  <c r="Y170" i="51"/>
  <c r="AB170" i="51" s="1"/>
  <c r="AA170" i="51"/>
  <c r="AC170" i="51"/>
  <c r="AD170" i="51"/>
  <c r="Y171" i="51"/>
  <c r="AB171" i="51"/>
  <c r="AA171" i="51"/>
  <c r="AC171" i="51"/>
  <c r="AD171" i="51"/>
  <c r="Y172" i="51"/>
  <c r="AB172" i="51" s="1"/>
  <c r="AA172" i="51"/>
  <c r="AC172" i="51"/>
  <c r="AD172" i="51"/>
  <c r="Y173" i="51"/>
  <c r="AA173" i="51"/>
  <c r="AC173" i="51"/>
  <c r="AD173" i="51"/>
  <c r="Y174" i="51"/>
  <c r="AB174" i="51"/>
  <c r="AE174" i="51" s="1"/>
  <c r="AF174" i="51" s="1"/>
  <c r="AA174" i="51"/>
  <c r="AC174" i="51"/>
  <c r="AD174" i="51"/>
  <c r="Y175" i="51"/>
  <c r="AB175" i="51" s="1"/>
  <c r="AA175" i="51"/>
  <c r="AC175" i="51"/>
  <c r="AD175" i="51"/>
  <c r="Y178" i="51"/>
  <c r="AB178" i="51" s="1"/>
  <c r="AA178" i="51"/>
  <c r="AC178" i="51"/>
  <c r="AD178" i="51"/>
  <c r="Y179" i="51"/>
  <c r="AB179" i="51" s="1"/>
  <c r="AA179" i="51"/>
  <c r="AC179" i="51"/>
  <c r="AD179" i="51"/>
  <c r="Y180" i="51"/>
  <c r="Z180" i="51" s="1"/>
  <c r="AB180" i="51"/>
  <c r="AE180" i="51" s="1"/>
  <c r="AF180" i="51" s="1"/>
  <c r="AA180" i="51"/>
  <c r="AC180" i="51"/>
  <c r="AD180" i="51"/>
  <c r="Y181" i="51"/>
  <c r="AA181" i="51"/>
  <c r="AC181" i="51"/>
  <c r="AD181" i="51"/>
  <c r="Y182" i="51"/>
  <c r="AB182" i="51" s="1"/>
  <c r="AA182" i="51"/>
  <c r="AC182" i="51"/>
  <c r="AD182" i="51"/>
  <c r="Y183" i="51"/>
  <c r="AB183" i="51"/>
  <c r="AA183" i="51"/>
  <c r="AE183" i="51" s="1"/>
  <c r="AF183" i="51" s="1"/>
  <c r="AC183" i="51"/>
  <c r="AD183" i="51"/>
  <c r="Y184" i="51"/>
  <c r="AA184" i="51"/>
  <c r="AC184" i="51"/>
  <c r="AD184" i="51"/>
  <c r="Y185" i="51"/>
  <c r="AB185" i="51" s="1"/>
  <c r="AA185" i="51"/>
  <c r="AC185" i="51"/>
  <c r="AD185" i="51"/>
  <c r="Y186" i="51"/>
  <c r="AB186" i="51" s="1"/>
  <c r="AA186" i="51"/>
  <c r="AC186" i="51"/>
  <c r="AD186" i="51"/>
  <c r="Y187" i="51"/>
  <c r="Z187" i="51" s="1"/>
  <c r="AA187" i="51"/>
  <c r="AC187" i="51"/>
  <c r="AD187" i="51"/>
  <c r="Y188" i="51"/>
  <c r="AB188" i="51" s="1"/>
  <c r="AA188" i="51"/>
  <c r="AC188" i="51"/>
  <c r="AD188" i="51"/>
  <c r="Y189" i="51"/>
  <c r="Z189" i="51" s="1"/>
  <c r="AA189" i="51"/>
  <c r="AC189" i="51"/>
  <c r="AD189" i="51"/>
  <c r="Y192" i="51"/>
  <c r="AA192" i="51"/>
  <c r="AC192" i="51"/>
  <c r="AD192" i="51"/>
  <c r="Y193" i="51"/>
  <c r="AB193" i="51" s="1"/>
  <c r="AA193" i="51"/>
  <c r="AC193" i="51"/>
  <c r="AD193" i="51"/>
  <c r="Y194" i="51"/>
  <c r="AB194" i="51"/>
  <c r="AA194" i="51"/>
  <c r="AC194" i="51"/>
  <c r="AD194" i="51"/>
  <c r="AE194" i="51" s="1"/>
  <c r="AF194" i="51" s="1"/>
  <c r="Y195" i="51"/>
  <c r="AB195" i="51"/>
  <c r="AA195" i="51"/>
  <c r="AC195" i="51"/>
  <c r="AD195" i="51"/>
  <c r="Y196" i="51"/>
  <c r="AA196" i="51"/>
  <c r="AC196" i="51"/>
  <c r="AD196" i="51"/>
  <c r="Y197" i="51"/>
  <c r="AB197" i="51" s="1"/>
  <c r="AA197" i="51"/>
  <c r="AC197" i="51"/>
  <c r="AD197" i="51"/>
  <c r="AI161" i="51"/>
  <c r="AL161" i="51"/>
  <c r="AK161" i="51"/>
  <c r="AP161" i="51" s="1"/>
  <c r="AM161" i="51"/>
  <c r="AO161" i="51"/>
  <c r="AI162" i="51"/>
  <c r="AL162" i="51" s="1"/>
  <c r="AK162" i="51"/>
  <c r="AM162" i="51"/>
  <c r="AO162" i="51"/>
  <c r="AI163" i="51"/>
  <c r="AL163" i="51" s="1"/>
  <c r="AK163" i="51"/>
  <c r="AM163" i="51"/>
  <c r="AO163" i="51"/>
  <c r="AI164" i="51"/>
  <c r="AK164" i="51"/>
  <c r="AM164" i="51"/>
  <c r="AO164" i="51"/>
  <c r="AI169" i="51"/>
  <c r="AJ169" i="51" s="1"/>
  <c r="AL169" i="51"/>
  <c r="AK169" i="51"/>
  <c r="AP169" i="51" s="1"/>
  <c r="AQ169" i="51" s="1"/>
  <c r="AM169" i="51"/>
  <c r="AO169" i="51"/>
  <c r="AI170" i="51"/>
  <c r="AL170" i="51" s="1"/>
  <c r="AK170" i="51"/>
  <c r="AM170" i="51"/>
  <c r="AO170" i="51"/>
  <c r="AI171" i="51"/>
  <c r="AL171" i="51" s="1"/>
  <c r="AK171" i="51"/>
  <c r="AM171" i="51"/>
  <c r="AO171" i="51"/>
  <c r="AI172" i="51"/>
  <c r="AK172" i="51"/>
  <c r="AM172" i="51"/>
  <c r="AO172" i="51"/>
  <c r="AI173" i="51"/>
  <c r="AJ173" i="51" s="1"/>
  <c r="AL173" i="51"/>
  <c r="AK173" i="51"/>
  <c r="AP173" i="51" s="1"/>
  <c r="AQ173" i="51" s="1"/>
  <c r="AM173" i="51"/>
  <c r="AO173" i="51"/>
  <c r="AI174" i="51"/>
  <c r="AL174" i="51" s="1"/>
  <c r="AK174" i="51"/>
  <c r="AM174" i="51"/>
  <c r="AO174" i="51"/>
  <c r="AI175" i="51"/>
  <c r="AL175" i="51" s="1"/>
  <c r="AK175" i="51"/>
  <c r="AM175" i="51"/>
  <c r="AO175" i="51"/>
  <c r="AI176" i="51"/>
  <c r="AK176" i="51"/>
  <c r="AM176" i="51"/>
  <c r="AO176" i="51"/>
  <c r="AI177" i="51"/>
  <c r="AL177" i="51" s="1"/>
  <c r="AK177" i="51"/>
  <c r="AP177" i="51" s="1"/>
  <c r="AQ177" i="51" s="1"/>
  <c r="AM177" i="51"/>
  <c r="AO177" i="51"/>
  <c r="AI178" i="51"/>
  <c r="AL178" i="51"/>
  <c r="AK178" i="51"/>
  <c r="AP178" i="51" s="1"/>
  <c r="AQ178" i="51" s="1"/>
  <c r="AM178" i="51"/>
  <c r="AO178" i="51"/>
  <c r="AI179" i="51"/>
  <c r="AL179" i="51" s="1"/>
  <c r="AK179" i="51"/>
  <c r="AM179" i="51"/>
  <c r="AO179" i="51"/>
  <c r="AI180" i="51"/>
  <c r="AJ180" i="51" s="1"/>
  <c r="AK180" i="51"/>
  <c r="AM180" i="51"/>
  <c r="AO180" i="51"/>
  <c r="AI183" i="51"/>
  <c r="AL183" i="51" s="1"/>
  <c r="AK183" i="51"/>
  <c r="AM183" i="51"/>
  <c r="AO183" i="51"/>
  <c r="AI184" i="51"/>
  <c r="AL184" i="51"/>
  <c r="AP184" i="51" s="1"/>
  <c r="AQ184" i="51" s="1"/>
  <c r="AK184" i="51"/>
  <c r="AM184" i="51"/>
  <c r="AO184" i="51"/>
  <c r="AI185" i="51"/>
  <c r="AK185" i="51"/>
  <c r="AM185" i="51"/>
  <c r="AO185" i="51"/>
  <c r="AI186" i="51"/>
  <c r="AJ186" i="51" s="1"/>
  <c r="AL186" i="51"/>
  <c r="AK186" i="51"/>
  <c r="AP186" i="51" s="1"/>
  <c r="AQ186" i="51" s="1"/>
  <c r="AM186" i="51"/>
  <c r="AO186" i="51"/>
  <c r="AI187" i="51"/>
  <c r="AL187" i="51" s="1"/>
  <c r="AK187" i="51"/>
  <c r="AM187" i="51"/>
  <c r="AO187" i="51"/>
  <c r="AI188" i="51"/>
  <c r="AL188" i="51" s="1"/>
  <c r="AP188" i="51" s="1"/>
  <c r="AQ188" i="51" s="1"/>
  <c r="AK188" i="51"/>
  <c r="AM188" i="51"/>
  <c r="AO188" i="51"/>
  <c r="AP192" i="51"/>
  <c r="AO193" i="51"/>
  <c r="AN194" i="51"/>
  <c r="AA198" i="51"/>
  <c r="AC198" i="51"/>
  <c r="AD198" i="51"/>
  <c r="C92" i="51"/>
  <c r="E92" i="51" s="1"/>
  <c r="C197" i="51"/>
  <c r="C196" i="51"/>
  <c r="C195" i="51"/>
  <c r="C194" i="51"/>
  <c r="C193" i="51"/>
  <c r="C192" i="51"/>
  <c r="C189" i="51"/>
  <c r="C188" i="51"/>
  <c r="C187" i="51"/>
  <c r="C186" i="51"/>
  <c r="C185" i="51"/>
  <c r="C184" i="51"/>
  <c r="C183" i="51"/>
  <c r="C182" i="51"/>
  <c r="C181" i="51"/>
  <c r="C180" i="51"/>
  <c r="C179" i="51"/>
  <c r="C178" i="51"/>
  <c r="C175" i="51"/>
  <c r="C174" i="51"/>
  <c r="C173" i="51"/>
  <c r="C172" i="51"/>
  <c r="C171" i="51"/>
  <c r="C170" i="51"/>
  <c r="C169" i="51"/>
  <c r="C168" i="51"/>
  <c r="C167" i="51"/>
  <c r="C166" i="51"/>
  <c r="C165" i="51"/>
  <c r="C164" i="51"/>
  <c r="C163" i="51"/>
  <c r="C162" i="51"/>
  <c r="C161" i="51"/>
  <c r="F10" i="51"/>
  <c r="B33" i="51" s="1"/>
  <c r="G12" i="51"/>
  <c r="I29" i="51"/>
  <c r="K29" i="51"/>
  <c r="D28" i="51"/>
  <c r="J208" i="51"/>
  <c r="D45" i="6" s="1"/>
  <c r="D20" i="6"/>
  <c r="B3" i="51"/>
  <c r="Z195" i="51"/>
  <c r="Z194" i="51"/>
  <c r="Z193" i="51"/>
  <c r="T162" i="51"/>
  <c r="T163" i="51"/>
  <c r="T164" i="51"/>
  <c r="T169" i="51"/>
  <c r="T170" i="51"/>
  <c r="T171" i="51"/>
  <c r="T172" i="51"/>
  <c r="T173" i="51"/>
  <c r="T174" i="51"/>
  <c r="T175" i="51"/>
  <c r="T176" i="51"/>
  <c r="T177" i="51"/>
  <c r="T178" i="51"/>
  <c r="T179" i="51"/>
  <c r="T180" i="51"/>
  <c r="T183" i="51"/>
  <c r="T184" i="51"/>
  <c r="T185" i="51"/>
  <c r="T187" i="51"/>
  <c r="T188" i="51"/>
  <c r="Z188" i="51"/>
  <c r="M188" i="51"/>
  <c r="Z185" i="51"/>
  <c r="M187" i="51"/>
  <c r="M186" i="51"/>
  <c r="Z183" i="51"/>
  <c r="M185" i="51"/>
  <c r="AJ184" i="51"/>
  <c r="M184" i="51"/>
  <c r="M183" i="51"/>
  <c r="M180" i="51"/>
  <c r="M179" i="51"/>
  <c r="AJ178" i="51"/>
  <c r="M178" i="51"/>
  <c r="Z175" i="51"/>
  <c r="M177" i="51"/>
  <c r="Z174" i="51"/>
  <c r="M176" i="51"/>
  <c r="AJ175" i="51"/>
  <c r="M175" i="51"/>
  <c r="AJ174" i="51"/>
  <c r="M174" i="51"/>
  <c r="Z171" i="51"/>
  <c r="M173" i="51"/>
  <c r="M172" i="51"/>
  <c r="M171" i="51"/>
  <c r="AJ170" i="51"/>
  <c r="Z168" i="51"/>
  <c r="M170" i="51"/>
  <c r="Z167" i="51"/>
  <c r="M169" i="51"/>
  <c r="Z165" i="51"/>
  <c r="Z164" i="51"/>
  <c r="M164" i="51"/>
  <c r="Z163" i="51"/>
  <c r="M163" i="51"/>
  <c r="AJ162" i="51"/>
  <c r="M162" i="51"/>
  <c r="AJ161" i="51"/>
  <c r="M161" i="51"/>
  <c r="E142" i="51"/>
  <c r="E149" i="51" s="1"/>
  <c r="E152" i="51"/>
  <c r="E151" i="51"/>
  <c r="E148" i="51"/>
  <c r="E147" i="51"/>
  <c r="E144" i="51"/>
  <c r="E143" i="51"/>
  <c r="E140" i="51"/>
  <c r="E139" i="51"/>
  <c r="E137" i="51"/>
  <c r="E136" i="51"/>
  <c r="E135" i="51"/>
  <c r="O119" i="51"/>
  <c r="O117" i="51"/>
  <c r="O116" i="51"/>
  <c r="O114" i="51"/>
  <c r="O111" i="51"/>
  <c r="O110" i="51"/>
  <c r="O107" i="51"/>
  <c r="I102" i="51"/>
  <c r="D102" i="51"/>
  <c r="J87" i="51"/>
  <c r="G85" i="51"/>
  <c r="G84" i="51"/>
  <c r="G82" i="51"/>
  <c r="G81" i="51"/>
  <c r="G79" i="51"/>
  <c r="G78" i="51"/>
  <c r="G76" i="51"/>
  <c r="G75" i="51"/>
  <c r="G73" i="51"/>
  <c r="G72" i="51"/>
  <c r="E45" i="51"/>
  <c r="E44" i="51"/>
  <c r="E43" i="51"/>
  <c r="E42" i="51"/>
  <c r="E41" i="51"/>
  <c r="K13" i="51"/>
  <c r="K14" i="51" s="1"/>
  <c r="K16" i="51" s="1"/>
  <c r="K8" i="51"/>
  <c r="K9" i="51" s="1"/>
  <c r="K15" i="51" s="1"/>
  <c r="C27" i="4"/>
  <c r="E27" i="4"/>
  <c r="I27" i="4"/>
  <c r="D27" i="4"/>
  <c r="M122" i="48"/>
  <c r="M123" i="48"/>
  <c r="M124" i="48"/>
  <c r="M125" i="48"/>
  <c r="M126" i="48"/>
  <c r="M127" i="48"/>
  <c r="M128" i="48"/>
  <c r="M129" i="48"/>
  <c r="M134" i="48"/>
  <c r="M135" i="48"/>
  <c r="M136" i="48"/>
  <c r="M150" i="48"/>
  <c r="M152" i="48"/>
  <c r="M153" i="48"/>
  <c r="M154" i="48"/>
  <c r="M155" i="48"/>
  <c r="M157" i="48"/>
  <c r="M158" i="48"/>
  <c r="M162" i="48"/>
  <c r="M164" i="48"/>
  <c r="M166" i="48"/>
  <c r="M168" i="48"/>
  <c r="M169" i="48"/>
  <c r="M170" i="48"/>
  <c r="M179" i="48"/>
  <c r="M180" i="48"/>
  <c r="M206" i="48"/>
  <c r="M236" i="48"/>
  <c r="L27" i="4"/>
  <c r="K27" i="4"/>
  <c r="E40" i="6"/>
  <c r="F40" i="6"/>
  <c r="G40" i="6"/>
  <c r="H40" i="6"/>
  <c r="I40" i="6"/>
  <c r="J40" i="6"/>
  <c r="K40" i="6"/>
  <c r="L40" i="6"/>
  <c r="M40" i="6"/>
  <c r="D40" i="6"/>
  <c r="F27" i="4"/>
  <c r="G27" i="4"/>
  <c r="L72" i="4"/>
  <c r="K72" i="4"/>
  <c r="K73" i="4" s="1"/>
  <c r="K79" i="4" s="1"/>
  <c r="J72" i="4"/>
  <c r="J73" i="4" s="1"/>
  <c r="J82" i="4"/>
  <c r="I72" i="4"/>
  <c r="H72" i="4"/>
  <c r="D355" i="3"/>
  <c r="D370" i="3"/>
  <c r="D358" i="3"/>
  <c r="D373" i="3" s="1"/>
  <c r="D361" i="3"/>
  <c r="D376" i="3" s="1"/>
  <c r="D362" i="3"/>
  <c r="D377" i="3" s="1"/>
  <c r="D363" i="3"/>
  <c r="D378" i="3"/>
  <c r="D364" i="3"/>
  <c r="D379" i="3" s="1"/>
  <c r="D365" i="3"/>
  <c r="D380" i="3" s="1"/>
  <c r="C23" i="4"/>
  <c r="C33" i="4"/>
  <c r="E23" i="4"/>
  <c r="E33" i="4" s="1"/>
  <c r="D23" i="4"/>
  <c r="D33" i="4" s="1"/>
  <c r="I23" i="4"/>
  <c r="I33" i="4" s="1"/>
  <c r="L85" i="4" s="1"/>
  <c r="F23" i="4"/>
  <c r="F33" i="4" s="1"/>
  <c r="G23" i="4"/>
  <c r="G33" i="4" s="1"/>
  <c r="F32" i="4"/>
  <c r="P84" i="4" s="1"/>
  <c r="G18" i="4"/>
  <c r="H18" i="4" s="1"/>
  <c r="G22" i="4"/>
  <c r="H22" i="4" s="1"/>
  <c r="H32" i="4" s="1"/>
  <c r="F31" i="4"/>
  <c r="L64" i="4"/>
  <c r="K64" i="4"/>
  <c r="J64" i="4"/>
  <c r="I64" i="4"/>
  <c r="H64" i="4"/>
  <c r="F30" i="4"/>
  <c r="G21" i="4"/>
  <c r="L63" i="4"/>
  <c r="K63" i="4"/>
  <c r="K82" i="4" s="1"/>
  <c r="J63" i="4"/>
  <c r="I63" i="4"/>
  <c r="H63" i="4"/>
  <c r="G82" i="4"/>
  <c r="F29" i="4"/>
  <c r="G20" i="4"/>
  <c r="L62" i="4"/>
  <c r="K62" i="4"/>
  <c r="J62" i="4"/>
  <c r="I62" i="4"/>
  <c r="H62" i="4"/>
  <c r="F28" i="4"/>
  <c r="G19" i="4"/>
  <c r="H19" i="4" s="1"/>
  <c r="G28" i="4"/>
  <c r="L61" i="4"/>
  <c r="K61" i="4"/>
  <c r="J61" i="4"/>
  <c r="I61" i="4"/>
  <c r="H61" i="4"/>
  <c r="D72" i="4"/>
  <c r="E72" i="4"/>
  <c r="F72" i="4"/>
  <c r="G72" i="4"/>
  <c r="M72" i="4"/>
  <c r="N72" i="4"/>
  <c r="N84" i="4" s="1"/>
  <c r="O72" i="4"/>
  <c r="O73" i="4" s="1"/>
  <c r="P72" i="4"/>
  <c r="Q72" i="4"/>
  <c r="Q73" i="4" s="1"/>
  <c r="D18" i="4"/>
  <c r="D19" i="4"/>
  <c r="D20" i="4"/>
  <c r="E20" i="4" s="1"/>
  <c r="D61" i="4"/>
  <c r="D68" i="4" s="1"/>
  <c r="E18" i="4"/>
  <c r="E19" i="4"/>
  <c r="E61" i="4"/>
  <c r="C28" i="4"/>
  <c r="C35" i="4" s="1"/>
  <c r="F61" i="4"/>
  <c r="G61" i="4"/>
  <c r="M61" i="4"/>
  <c r="N61" i="4"/>
  <c r="O61" i="4"/>
  <c r="P61" i="4"/>
  <c r="Q61" i="4"/>
  <c r="I28" i="4"/>
  <c r="C61" i="4"/>
  <c r="C72" i="4"/>
  <c r="D62" i="4"/>
  <c r="D63" i="4"/>
  <c r="D64" i="4"/>
  <c r="D21" i="4"/>
  <c r="E21" i="4" s="1"/>
  <c r="D22" i="4"/>
  <c r="E22" i="4" s="1"/>
  <c r="D31" i="4"/>
  <c r="E62" i="4"/>
  <c r="E63" i="4"/>
  <c r="E64" i="4"/>
  <c r="E31" i="4"/>
  <c r="F62" i="4"/>
  <c r="F63" i="4"/>
  <c r="F82" i="4" s="1"/>
  <c r="F64" i="4"/>
  <c r="C29" i="4"/>
  <c r="C30" i="4"/>
  <c r="C31" i="4"/>
  <c r="C36" i="4" s="1"/>
  <c r="C32" i="4"/>
  <c r="C62" i="4"/>
  <c r="C63" i="4"/>
  <c r="C64" i="4"/>
  <c r="I29" i="4"/>
  <c r="L81" i="4" s="1"/>
  <c r="I30" i="4"/>
  <c r="I31" i="4"/>
  <c r="I32" i="4"/>
  <c r="L84" i="4" s="1"/>
  <c r="K130" i="48"/>
  <c r="I130" i="48" s="1"/>
  <c r="G130" i="48" s="1"/>
  <c r="M130" i="48" s="1"/>
  <c r="K131" i="48"/>
  <c r="I131" i="48" s="1"/>
  <c r="G131" i="48" s="1"/>
  <c r="M131" i="48" s="1"/>
  <c r="K132" i="48"/>
  <c r="I132" i="48" s="1"/>
  <c r="G132" i="48" s="1"/>
  <c r="M132" i="48" s="1"/>
  <c r="K133" i="48"/>
  <c r="I133" i="48" s="1"/>
  <c r="G133" i="48" s="1"/>
  <c r="M133" i="48" s="1"/>
  <c r="K137" i="48"/>
  <c r="I137" i="48" s="1"/>
  <c r="G137" i="48" s="1"/>
  <c r="M137" i="48" s="1"/>
  <c r="K138" i="48"/>
  <c r="I138" i="48"/>
  <c r="G138" i="48" s="1"/>
  <c r="M138" i="48" s="1"/>
  <c r="K139" i="48"/>
  <c r="I139" i="48" s="1"/>
  <c r="G139" i="48" s="1"/>
  <c r="M139" i="48" s="1"/>
  <c r="K140" i="48"/>
  <c r="I140" i="48" s="1"/>
  <c r="G140" i="48" s="1"/>
  <c r="M140" i="48" s="1"/>
  <c r="K141" i="48"/>
  <c r="I141" i="48" s="1"/>
  <c r="G141" i="48" s="1"/>
  <c r="M141" i="48" s="1"/>
  <c r="K142" i="48"/>
  <c r="I142" i="48"/>
  <c r="G142" i="48" s="1"/>
  <c r="M142" i="48" s="1"/>
  <c r="K143" i="48"/>
  <c r="I143" i="48" s="1"/>
  <c r="G143" i="48" s="1"/>
  <c r="M143" i="48" s="1"/>
  <c r="K144" i="48"/>
  <c r="I144" i="48" s="1"/>
  <c r="G144" i="48" s="1"/>
  <c r="M144" i="48" s="1"/>
  <c r="K145" i="48"/>
  <c r="I145" i="48" s="1"/>
  <c r="G145" i="48" s="1"/>
  <c r="M145" i="48" s="1"/>
  <c r="K146" i="48"/>
  <c r="I146" i="48"/>
  <c r="G146" i="48" s="1"/>
  <c r="M146" i="48" s="1"/>
  <c r="K147" i="48"/>
  <c r="I147" i="48" s="1"/>
  <c r="G147" i="48" s="1"/>
  <c r="M147" i="48" s="1"/>
  <c r="K148" i="48"/>
  <c r="I148" i="48" s="1"/>
  <c r="G148" i="48" s="1"/>
  <c r="M148" i="48" s="1"/>
  <c r="K149" i="48"/>
  <c r="I149" i="48" s="1"/>
  <c r="G149" i="48" s="1"/>
  <c r="M149" i="48" s="1"/>
  <c r="K151" i="48"/>
  <c r="I151" i="48" s="1"/>
  <c r="G151" i="48" s="1"/>
  <c r="M151" i="48" s="1"/>
  <c r="K156" i="48"/>
  <c r="I156" i="48" s="1"/>
  <c r="G156" i="48" s="1"/>
  <c r="M156" i="48" s="1"/>
  <c r="K159" i="48"/>
  <c r="I159" i="48" s="1"/>
  <c r="G159" i="48" s="1"/>
  <c r="M159" i="48" s="1"/>
  <c r="K160" i="48"/>
  <c r="I160" i="48" s="1"/>
  <c r="G160" i="48" s="1"/>
  <c r="M160" i="48" s="1"/>
  <c r="K161" i="48"/>
  <c r="I161" i="48"/>
  <c r="G161" i="48" s="1"/>
  <c r="M161" i="48" s="1"/>
  <c r="K163" i="48"/>
  <c r="I163" i="48" s="1"/>
  <c r="G163" i="48" s="1"/>
  <c r="M163" i="48" s="1"/>
  <c r="K165" i="48"/>
  <c r="I165" i="48" s="1"/>
  <c r="G165" i="48" s="1"/>
  <c r="M165" i="48" s="1"/>
  <c r="K167" i="48"/>
  <c r="I167" i="48" s="1"/>
  <c r="G167" i="48" s="1"/>
  <c r="M167" i="48" s="1"/>
  <c r="K171" i="48"/>
  <c r="I171" i="48"/>
  <c r="G171" i="48" s="1"/>
  <c r="M171" i="48" s="1"/>
  <c r="K172" i="48"/>
  <c r="I172" i="48" s="1"/>
  <c r="G172" i="48" s="1"/>
  <c r="M172" i="48" s="1"/>
  <c r="K173" i="48"/>
  <c r="I173" i="48" s="1"/>
  <c r="G173" i="48" s="1"/>
  <c r="M173" i="48" s="1"/>
  <c r="K174" i="48"/>
  <c r="I174" i="48" s="1"/>
  <c r="G174" i="48" s="1"/>
  <c r="M174" i="48" s="1"/>
  <c r="K175" i="48"/>
  <c r="I175" i="48"/>
  <c r="G175" i="48" s="1"/>
  <c r="M175" i="48" s="1"/>
  <c r="K176" i="48"/>
  <c r="I176" i="48" s="1"/>
  <c r="G176" i="48" s="1"/>
  <c r="M176" i="48" s="1"/>
  <c r="K177" i="48"/>
  <c r="I177" i="48" s="1"/>
  <c r="G177" i="48" s="1"/>
  <c r="M177" i="48" s="1"/>
  <c r="K178" i="48"/>
  <c r="I178" i="48" s="1"/>
  <c r="G178" i="48" s="1"/>
  <c r="M178" i="48" s="1"/>
  <c r="K181" i="48"/>
  <c r="I181" i="48"/>
  <c r="G181" i="48" s="1"/>
  <c r="M181" i="48" s="1"/>
  <c r="K182" i="48"/>
  <c r="I182" i="48" s="1"/>
  <c r="G182" i="48" s="1"/>
  <c r="M182" i="48" s="1"/>
  <c r="K183" i="48"/>
  <c r="I183" i="48" s="1"/>
  <c r="G183" i="48" s="1"/>
  <c r="M183" i="48" s="1"/>
  <c r="K184" i="48"/>
  <c r="I184" i="48" s="1"/>
  <c r="G184" i="48" s="1"/>
  <c r="M184" i="48" s="1"/>
  <c r="K185" i="48"/>
  <c r="I185" i="48"/>
  <c r="G185" i="48" s="1"/>
  <c r="M185" i="48" s="1"/>
  <c r="K186" i="48"/>
  <c r="I186" i="48" s="1"/>
  <c r="G186" i="48" s="1"/>
  <c r="M186" i="48" s="1"/>
  <c r="K187" i="48"/>
  <c r="I187" i="48" s="1"/>
  <c r="G187" i="48" s="1"/>
  <c r="M187" i="48" s="1"/>
  <c r="K188" i="48"/>
  <c r="I188" i="48" s="1"/>
  <c r="G188" i="48" s="1"/>
  <c r="M188" i="48" s="1"/>
  <c r="K189" i="48"/>
  <c r="I189" i="48" s="1"/>
  <c r="G189" i="48" s="1"/>
  <c r="M189" i="48" s="1"/>
  <c r="K190" i="48"/>
  <c r="I190" i="48" s="1"/>
  <c r="G190" i="48" s="1"/>
  <c r="M190" i="48" s="1"/>
  <c r="K191" i="48"/>
  <c r="I191" i="48" s="1"/>
  <c r="G191" i="48" s="1"/>
  <c r="M191" i="48" s="1"/>
  <c r="K192" i="48"/>
  <c r="I192" i="48" s="1"/>
  <c r="G192" i="48" s="1"/>
  <c r="M192" i="48" s="1"/>
  <c r="K193" i="48"/>
  <c r="I193" i="48"/>
  <c r="G193" i="48" s="1"/>
  <c r="M193" i="48" s="1"/>
  <c r="K194" i="48"/>
  <c r="I194" i="48" s="1"/>
  <c r="G194" i="48" s="1"/>
  <c r="M194" i="48" s="1"/>
  <c r="K195" i="48"/>
  <c r="I195" i="48" s="1"/>
  <c r="G195" i="48" s="1"/>
  <c r="M195" i="48" s="1"/>
  <c r="K196" i="48"/>
  <c r="I196" i="48" s="1"/>
  <c r="G196" i="48" s="1"/>
  <c r="M196" i="48" s="1"/>
  <c r="K197" i="48"/>
  <c r="I197" i="48" s="1"/>
  <c r="G197" i="48" s="1"/>
  <c r="M197" i="48" s="1"/>
  <c r="K198" i="48"/>
  <c r="I198" i="48" s="1"/>
  <c r="G198" i="48" s="1"/>
  <c r="M198" i="48" s="1"/>
  <c r="K199" i="48"/>
  <c r="I199" i="48" s="1"/>
  <c r="G199" i="48" s="1"/>
  <c r="M199" i="48" s="1"/>
  <c r="K200" i="48"/>
  <c r="I200" i="48" s="1"/>
  <c r="G200" i="48" s="1"/>
  <c r="M200" i="48" s="1"/>
  <c r="K201" i="48"/>
  <c r="I201" i="48" s="1"/>
  <c r="G201" i="48" s="1"/>
  <c r="M201" i="48" s="1"/>
  <c r="K202" i="48"/>
  <c r="I202" i="48" s="1"/>
  <c r="G202" i="48" s="1"/>
  <c r="M202" i="48" s="1"/>
  <c r="K203" i="48"/>
  <c r="I203" i="48" s="1"/>
  <c r="G203" i="48" s="1"/>
  <c r="M203" i="48" s="1"/>
  <c r="K204" i="48"/>
  <c r="I204" i="48" s="1"/>
  <c r="G204" i="48" s="1"/>
  <c r="M204" i="48" s="1"/>
  <c r="K205" i="48"/>
  <c r="I205" i="48"/>
  <c r="G205" i="48" s="1"/>
  <c r="M205" i="48" s="1"/>
  <c r="K207" i="48"/>
  <c r="I207" i="48" s="1"/>
  <c r="G207" i="48" s="1"/>
  <c r="M207" i="48" s="1"/>
  <c r="K208" i="48"/>
  <c r="I208" i="48" s="1"/>
  <c r="G208" i="48" s="1"/>
  <c r="M208" i="48" s="1"/>
  <c r="K209" i="48"/>
  <c r="I209" i="48" s="1"/>
  <c r="G209" i="48" s="1"/>
  <c r="M209" i="48" s="1"/>
  <c r="K210" i="48"/>
  <c r="I210" i="48" s="1"/>
  <c r="G210" i="48" s="1"/>
  <c r="M210" i="48" s="1"/>
  <c r="K211" i="48"/>
  <c r="I211" i="48" s="1"/>
  <c r="G211" i="48" s="1"/>
  <c r="M211" i="48" s="1"/>
  <c r="K212" i="48"/>
  <c r="I212" i="48" s="1"/>
  <c r="G212" i="48" s="1"/>
  <c r="M212" i="48" s="1"/>
  <c r="K213" i="48"/>
  <c r="I213" i="48" s="1"/>
  <c r="G213" i="48" s="1"/>
  <c r="M213" i="48" s="1"/>
  <c r="K214" i="48"/>
  <c r="I214" i="48" s="1"/>
  <c r="G214" i="48" s="1"/>
  <c r="M214" i="48" s="1"/>
  <c r="K215" i="48"/>
  <c r="I215" i="48" s="1"/>
  <c r="G215" i="48" s="1"/>
  <c r="M215" i="48" s="1"/>
  <c r="K216" i="48"/>
  <c r="I216" i="48" s="1"/>
  <c r="G216" i="48" s="1"/>
  <c r="M216" i="48" s="1"/>
  <c r="K217" i="48"/>
  <c r="I217" i="48" s="1"/>
  <c r="G217" i="48" s="1"/>
  <c r="M217" i="48" s="1"/>
  <c r="K218" i="48"/>
  <c r="I218" i="48"/>
  <c r="G218" i="48" s="1"/>
  <c r="M218" i="48" s="1"/>
  <c r="K219" i="48"/>
  <c r="I219" i="48" s="1"/>
  <c r="G219" i="48" s="1"/>
  <c r="M219" i="48" s="1"/>
  <c r="K220" i="48"/>
  <c r="I220" i="48" s="1"/>
  <c r="G220" i="48" s="1"/>
  <c r="M220" i="48" s="1"/>
  <c r="K221" i="48"/>
  <c r="I221" i="48" s="1"/>
  <c r="G221" i="48" s="1"/>
  <c r="M221" i="48" s="1"/>
  <c r="K222" i="48"/>
  <c r="I222" i="48" s="1"/>
  <c r="G222" i="48" s="1"/>
  <c r="M222" i="48" s="1"/>
  <c r="K223" i="48"/>
  <c r="I223" i="48" s="1"/>
  <c r="G223" i="48" s="1"/>
  <c r="M223" i="48" s="1"/>
  <c r="K224" i="48"/>
  <c r="I224" i="48" s="1"/>
  <c r="G224" i="48" s="1"/>
  <c r="M224" i="48" s="1"/>
  <c r="K225" i="48"/>
  <c r="I225" i="48" s="1"/>
  <c r="G225" i="48" s="1"/>
  <c r="M225" i="48" s="1"/>
  <c r="K226" i="48"/>
  <c r="I226" i="48"/>
  <c r="G226" i="48" s="1"/>
  <c r="M226" i="48" s="1"/>
  <c r="K227" i="48"/>
  <c r="I227" i="48" s="1"/>
  <c r="G227" i="48" s="1"/>
  <c r="M227" i="48" s="1"/>
  <c r="K228" i="48"/>
  <c r="I228" i="48" s="1"/>
  <c r="G228" i="48" s="1"/>
  <c r="M228" i="48" s="1"/>
  <c r="K229" i="48"/>
  <c r="I229" i="48" s="1"/>
  <c r="G229" i="48" s="1"/>
  <c r="M229" i="48" s="1"/>
  <c r="K230" i="48"/>
  <c r="I230" i="48" s="1"/>
  <c r="G230" i="48" s="1"/>
  <c r="M230" i="48" s="1"/>
  <c r="K231" i="48"/>
  <c r="I231" i="48" s="1"/>
  <c r="G231" i="48" s="1"/>
  <c r="M231" i="48" s="1"/>
  <c r="K232" i="48"/>
  <c r="I232" i="48" s="1"/>
  <c r="G232" i="48" s="1"/>
  <c r="M232" i="48" s="1"/>
  <c r="K233" i="48"/>
  <c r="I233" i="48" s="1"/>
  <c r="G233" i="48" s="1"/>
  <c r="M233" i="48" s="1"/>
  <c r="K234" i="48"/>
  <c r="I234" i="48"/>
  <c r="G234" i="48" s="1"/>
  <c r="M234" i="48" s="1"/>
  <c r="K235" i="48"/>
  <c r="I235" i="48" s="1"/>
  <c r="G235" i="48" s="1"/>
  <c r="M235" i="48" s="1"/>
  <c r="K121" i="48"/>
  <c r="I121" i="48" s="1"/>
  <c r="G121" i="48" s="1"/>
  <c r="M121" i="48" s="1"/>
  <c r="L235" i="48"/>
  <c r="J235" i="48" s="1"/>
  <c r="H235" i="48" s="1"/>
  <c r="L234" i="48"/>
  <c r="J234" i="48"/>
  <c r="H234" i="48" s="1"/>
  <c r="L233" i="48"/>
  <c r="J233" i="48" s="1"/>
  <c r="H233" i="48" s="1"/>
  <c r="L232" i="48"/>
  <c r="J232" i="48" s="1"/>
  <c r="H232" i="48" s="1"/>
  <c r="L231" i="48"/>
  <c r="J231" i="48" s="1"/>
  <c r="H231" i="48" s="1"/>
  <c r="L230" i="48"/>
  <c r="J230" i="48"/>
  <c r="H230" i="48" s="1"/>
  <c r="L229" i="48"/>
  <c r="J229" i="48" s="1"/>
  <c r="H229" i="48" s="1"/>
  <c r="L228" i="48"/>
  <c r="J228" i="48" s="1"/>
  <c r="H228" i="48" s="1"/>
  <c r="L227" i="48"/>
  <c r="J227" i="48" s="1"/>
  <c r="H227" i="48" s="1"/>
  <c r="L226" i="48"/>
  <c r="J226" i="48" s="1"/>
  <c r="H226" i="48" s="1"/>
  <c r="L225" i="48"/>
  <c r="J225" i="48" s="1"/>
  <c r="H225" i="48" s="1"/>
  <c r="L224" i="48"/>
  <c r="J224" i="48" s="1"/>
  <c r="H224" i="48" s="1"/>
  <c r="L223" i="48"/>
  <c r="J223" i="48" s="1"/>
  <c r="H223" i="48" s="1"/>
  <c r="L222" i="48"/>
  <c r="J222" i="48" s="1"/>
  <c r="H222" i="48" s="1"/>
  <c r="L221" i="48"/>
  <c r="J221" i="48" s="1"/>
  <c r="H221" i="48" s="1"/>
  <c r="L220" i="48"/>
  <c r="J220" i="48" s="1"/>
  <c r="H220" i="48" s="1"/>
  <c r="L219" i="48"/>
  <c r="J219" i="48" s="1"/>
  <c r="H219" i="48" s="1"/>
  <c r="L218" i="48"/>
  <c r="J218" i="48"/>
  <c r="H218" i="48" s="1"/>
  <c r="L217" i="48"/>
  <c r="J217" i="48" s="1"/>
  <c r="H217" i="48" s="1"/>
  <c r="L216" i="48"/>
  <c r="J216" i="48" s="1"/>
  <c r="H216" i="48" s="1"/>
  <c r="L215" i="48"/>
  <c r="J215" i="48" s="1"/>
  <c r="H215" i="48" s="1"/>
  <c r="L214" i="48"/>
  <c r="J214" i="48"/>
  <c r="H214" i="48" s="1"/>
  <c r="L213" i="48"/>
  <c r="J213" i="48" s="1"/>
  <c r="H213" i="48" s="1"/>
  <c r="L212" i="48"/>
  <c r="J212" i="48" s="1"/>
  <c r="H212" i="48" s="1"/>
  <c r="L211" i="48"/>
  <c r="J211" i="48" s="1"/>
  <c r="H211" i="48" s="1"/>
  <c r="L210" i="48"/>
  <c r="J210" i="48" s="1"/>
  <c r="H210" i="48" s="1"/>
  <c r="L209" i="48"/>
  <c r="J209" i="48" s="1"/>
  <c r="H209" i="48" s="1"/>
  <c r="L208" i="48"/>
  <c r="J208" i="48" s="1"/>
  <c r="H208" i="48" s="1"/>
  <c r="L207" i="48"/>
  <c r="J207" i="48" s="1"/>
  <c r="H207" i="48" s="1"/>
  <c r="L205" i="48"/>
  <c r="J205" i="48"/>
  <c r="H205" i="48" s="1"/>
  <c r="L204" i="48"/>
  <c r="J204" i="48" s="1"/>
  <c r="H204" i="48" s="1"/>
  <c r="L203" i="48"/>
  <c r="J203" i="48" s="1"/>
  <c r="H203" i="48" s="1"/>
  <c r="L202" i="48"/>
  <c r="J202" i="48" s="1"/>
  <c r="H202" i="48" s="1"/>
  <c r="L201" i="48"/>
  <c r="J201" i="48" s="1"/>
  <c r="H201" i="48" s="1"/>
  <c r="L200" i="48"/>
  <c r="J200" i="48" s="1"/>
  <c r="H200" i="48" s="1"/>
  <c r="L199" i="48"/>
  <c r="J199" i="48" s="1"/>
  <c r="H199" i="48" s="1"/>
  <c r="L198" i="48"/>
  <c r="J198" i="48" s="1"/>
  <c r="H198" i="48" s="1"/>
  <c r="L197" i="48"/>
  <c r="J197" i="48"/>
  <c r="H197" i="48" s="1"/>
  <c r="L196" i="48"/>
  <c r="J196" i="48" s="1"/>
  <c r="H196" i="48" s="1"/>
  <c r="L195" i="48"/>
  <c r="J195" i="48" s="1"/>
  <c r="H195" i="48" s="1"/>
  <c r="L194" i="48"/>
  <c r="J194" i="48" s="1"/>
  <c r="H194" i="48" s="1"/>
  <c r="L193" i="48"/>
  <c r="J193" i="48"/>
  <c r="H193" i="48" s="1"/>
  <c r="L192" i="48"/>
  <c r="J192" i="48" s="1"/>
  <c r="H192" i="48" s="1"/>
  <c r="L191" i="48"/>
  <c r="J191" i="48" s="1"/>
  <c r="H191" i="48" s="1"/>
  <c r="L190" i="48"/>
  <c r="J190" i="48" s="1"/>
  <c r="H190" i="48" s="1"/>
  <c r="L189" i="48"/>
  <c r="J189" i="48"/>
  <c r="H189" i="48" s="1"/>
  <c r="L188" i="48"/>
  <c r="J188" i="48" s="1"/>
  <c r="H188" i="48" s="1"/>
  <c r="L187" i="48"/>
  <c r="J187" i="48" s="1"/>
  <c r="H187" i="48" s="1"/>
  <c r="L186" i="48"/>
  <c r="J186" i="48" s="1"/>
  <c r="H186" i="48" s="1"/>
  <c r="L185" i="48"/>
  <c r="J185" i="48" s="1"/>
  <c r="H185" i="48" s="1"/>
  <c r="L184" i="48"/>
  <c r="J184" i="48" s="1"/>
  <c r="H184" i="48" s="1"/>
  <c r="L183" i="48"/>
  <c r="J183" i="48" s="1"/>
  <c r="H183" i="48" s="1"/>
  <c r="L182" i="48"/>
  <c r="J182" i="48" s="1"/>
  <c r="H182" i="48" s="1"/>
  <c r="L181" i="48"/>
  <c r="J181" i="48"/>
  <c r="H181" i="48" s="1"/>
  <c r="L178" i="48"/>
  <c r="J178" i="48" s="1"/>
  <c r="H178" i="48" s="1"/>
  <c r="L177" i="48"/>
  <c r="J177" i="48" s="1"/>
  <c r="H177" i="48" s="1"/>
  <c r="L176" i="48"/>
  <c r="J176" i="48" s="1"/>
  <c r="H176" i="48" s="1"/>
  <c r="L175" i="48"/>
  <c r="J175" i="48" s="1"/>
  <c r="H175" i="48" s="1"/>
  <c r="L174" i="48"/>
  <c r="J174" i="48" s="1"/>
  <c r="H174" i="48" s="1"/>
  <c r="L173" i="48"/>
  <c r="J173" i="48" s="1"/>
  <c r="H173" i="48" s="1"/>
  <c r="L172" i="48"/>
  <c r="J172" i="48" s="1"/>
  <c r="H172" i="48" s="1"/>
  <c r="L171" i="48"/>
  <c r="J171" i="48"/>
  <c r="H171" i="48" s="1"/>
  <c r="L167" i="48"/>
  <c r="J167" i="48" s="1"/>
  <c r="H167" i="48" s="1"/>
  <c r="L165" i="48"/>
  <c r="J165" i="48" s="1"/>
  <c r="H165" i="48" s="1"/>
  <c r="L163" i="48"/>
  <c r="J163" i="48" s="1"/>
  <c r="H163" i="48" s="1"/>
  <c r="L161" i="48"/>
  <c r="J161" i="48"/>
  <c r="H161" i="48" s="1"/>
  <c r="L160" i="48"/>
  <c r="J160" i="48" s="1"/>
  <c r="H160" i="48" s="1"/>
  <c r="L159" i="48"/>
  <c r="J159" i="48" s="1"/>
  <c r="H159" i="48" s="1"/>
  <c r="L156" i="48"/>
  <c r="J156" i="48" s="1"/>
  <c r="H156" i="48" s="1"/>
  <c r="L151" i="48"/>
  <c r="J151" i="48" s="1"/>
  <c r="H151" i="48" s="1"/>
  <c r="L149" i="48"/>
  <c r="J149" i="48" s="1"/>
  <c r="H149" i="48" s="1"/>
  <c r="L148" i="48"/>
  <c r="J148" i="48" s="1"/>
  <c r="H148" i="48" s="1"/>
  <c r="L147" i="48"/>
  <c r="J147" i="48" s="1"/>
  <c r="H147" i="48" s="1"/>
  <c r="L146" i="48"/>
  <c r="J146" i="48" s="1"/>
  <c r="H146" i="48" s="1"/>
  <c r="L145" i="48"/>
  <c r="J145" i="48" s="1"/>
  <c r="H145" i="48" s="1"/>
  <c r="L144" i="48"/>
  <c r="J144" i="48" s="1"/>
  <c r="H144" i="48" s="1"/>
  <c r="L143" i="48"/>
  <c r="J143" i="48" s="1"/>
  <c r="H143" i="48" s="1"/>
  <c r="L142" i="48"/>
  <c r="J142" i="48"/>
  <c r="H142" i="48" s="1"/>
  <c r="L141" i="48"/>
  <c r="J141" i="48" s="1"/>
  <c r="H141" i="48" s="1"/>
  <c r="L140" i="48"/>
  <c r="J140" i="48" s="1"/>
  <c r="H140" i="48" s="1"/>
  <c r="L139" i="48"/>
  <c r="J139" i="48" s="1"/>
  <c r="H139" i="48" s="1"/>
  <c r="L138" i="48"/>
  <c r="J138" i="48"/>
  <c r="H138" i="48" s="1"/>
  <c r="L137" i="48"/>
  <c r="J137" i="48" s="1"/>
  <c r="H137" i="48" s="1"/>
  <c r="L133" i="48"/>
  <c r="J133" i="48" s="1"/>
  <c r="H133" i="48" s="1"/>
  <c r="L132" i="48"/>
  <c r="J132" i="48" s="1"/>
  <c r="H132" i="48" s="1"/>
  <c r="L131" i="48"/>
  <c r="J131" i="48"/>
  <c r="H131" i="48" s="1"/>
  <c r="L130" i="48"/>
  <c r="J130" i="48" s="1"/>
  <c r="H130" i="48" s="1"/>
  <c r="L121" i="48"/>
  <c r="J121" i="48" s="1"/>
  <c r="H121" i="48" s="1"/>
  <c r="D12" i="4"/>
  <c r="D15" i="4" s="1"/>
  <c r="I15" i="4"/>
  <c r="E12" i="4"/>
  <c r="E15" i="4" s="1"/>
  <c r="C15" i="4"/>
  <c r="T47" i="48"/>
  <c r="J82" i="3"/>
  <c r="J81" i="3"/>
  <c r="J72" i="3"/>
  <c r="J35" i="3"/>
  <c r="J65" i="3"/>
  <c r="J64" i="3"/>
  <c r="J26" i="3"/>
  <c r="J28" i="3"/>
  <c r="J14" i="3"/>
  <c r="J60" i="3"/>
  <c r="J53" i="3"/>
  <c r="J55" i="3"/>
  <c r="J54" i="3"/>
  <c r="J57" i="3"/>
  <c r="J56" i="3"/>
  <c r="J52" i="3"/>
  <c r="H27" i="4"/>
  <c r="G12" i="4"/>
  <c r="H12" i="4" s="1"/>
  <c r="H15" i="4" s="1"/>
  <c r="F15" i="4"/>
  <c r="J18" i="4"/>
  <c r="J29" i="4" s="1"/>
  <c r="J19" i="4"/>
  <c r="J20" i="4"/>
  <c r="J21" i="4"/>
  <c r="J22" i="4"/>
  <c r="H20" i="4"/>
  <c r="J111" i="3"/>
  <c r="Q62" i="4"/>
  <c r="Q63" i="4"/>
  <c r="Q64" i="4"/>
  <c r="P62" i="4"/>
  <c r="P81" i="4" s="1"/>
  <c r="P63" i="4"/>
  <c r="P82" i="4" s="1"/>
  <c r="P64" i="4"/>
  <c r="P83" i="4" s="1"/>
  <c r="O62" i="4"/>
  <c r="O63" i="4"/>
  <c r="O64" i="4"/>
  <c r="N62" i="4"/>
  <c r="N63" i="4"/>
  <c r="N64" i="4"/>
  <c r="N83" i="4" s="1"/>
  <c r="M62" i="4"/>
  <c r="M81" i="4" s="1"/>
  <c r="M63" i="4"/>
  <c r="M64" i="4"/>
  <c r="G62" i="4"/>
  <c r="G81" i="4" s="1"/>
  <c r="G63" i="4"/>
  <c r="G64" i="4"/>
  <c r="G83" i="4" s="1"/>
  <c r="Q68" i="4"/>
  <c r="P68" i="4"/>
  <c r="M68" i="4"/>
  <c r="J68" i="4"/>
  <c r="I68" i="4"/>
  <c r="H68" i="4"/>
  <c r="F68" i="4"/>
  <c r="E68" i="4"/>
  <c r="L40" i="4"/>
  <c r="L41" i="4" s="1"/>
  <c r="L43" i="4" s="1"/>
  <c r="K40" i="4"/>
  <c r="K41" i="4"/>
  <c r="K28" i="4"/>
  <c r="K42" i="4"/>
  <c r="L28" i="4"/>
  <c r="L42" i="4"/>
  <c r="K29" i="4"/>
  <c r="K30" i="4"/>
  <c r="K31" i="4"/>
  <c r="K32" i="4"/>
  <c r="K23" i="4"/>
  <c r="K33" i="4" s="1"/>
  <c r="J27" i="4"/>
  <c r="J23" i="4"/>
  <c r="J33" i="4" s="1"/>
  <c r="H21" i="4"/>
  <c r="H29" i="4"/>
  <c r="H31" i="4"/>
  <c r="H23" i="4"/>
  <c r="H33" i="4"/>
  <c r="L23" i="4"/>
  <c r="L33" i="4" s="1"/>
  <c r="L32" i="4"/>
  <c r="L31" i="4"/>
  <c r="L30" i="4"/>
  <c r="L29" i="4"/>
  <c r="J12" i="4"/>
  <c r="J15" i="4" s="1"/>
  <c r="A1" i="8"/>
  <c r="A1" i="7"/>
  <c r="A1" i="9"/>
  <c r="T192" i="51"/>
  <c r="AQ192" i="51"/>
  <c r="AB134" i="16" l="1"/>
  <c r="Z134" i="16"/>
  <c r="T14" i="53"/>
  <c r="T22" i="53"/>
  <c r="T24" i="53" s="1"/>
  <c r="G69" i="4"/>
  <c r="AB141" i="16"/>
  <c r="Z141" i="16"/>
  <c r="Q75" i="4"/>
  <c r="Q79" i="4"/>
  <c r="Q86" i="4" s="1"/>
  <c r="Q87" i="4" s="1"/>
  <c r="J380" i="3" s="1"/>
  <c r="G68" i="4"/>
  <c r="G74" i="4"/>
  <c r="Q83" i="4"/>
  <c r="J84" i="4"/>
  <c r="AL185" i="51"/>
  <c r="AJ185" i="51"/>
  <c r="U23" i="57"/>
  <c r="U16" i="57"/>
  <c r="H33" i="57"/>
  <c r="I33" i="57"/>
  <c r="L33" i="57"/>
  <c r="AL135" i="55"/>
  <c r="AJ135" i="55"/>
  <c r="AL126" i="57"/>
  <c r="AJ126" i="57"/>
  <c r="Z135" i="57"/>
  <c r="AB135" i="57"/>
  <c r="H20" i="56"/>
  <c r="E86" i="56"/>
  <c r="AP118" i="59"/>
  <c r="AQ118" i="59" s="1"/>
  <c r="M84" i="4"/>
  <c r="J74" i="4"/>
  <c r="AE185" i="51"/>
  <c r="AF185" i="51" s="1"/>
  <c r="AE146" i="16"/>
  <c r="AF146" i="16" s="1"/>
  <c r="AP110" i="59"/>
  <c r="AB111" i="59"/>
  <c r="Z111" i="59"/>
  <c r="AL136" i="50"/>
  <c r="AJ136" i="50"/>
  <c r="B50" i="51"/>
  <c r="B72" i="51" s="1"/>
  <c r="B92" i="51"/>
  <c r="B125" i="51" s="1"/>
  <c r="S16" i="58"/>
  <c r="S18" i="58" s="1"/>
  <c r="S23" i="58"/>
  <c r="T18" i="56"/>
  <c r="T21" i="56"/>
  <c r="AE111" i="59"/>
  <c r="AF111" i="59" s="1"/>
  <c r="W14" i="52"/>
  <c r="W23" i="52" s="1"/>
  <c r="W22" i="52"/>
  <c r="W24" i="52" s="1"/>
  <c r="L35" i="4"/>
  <c r="L36" i="4"/>
  <c r="L44" i="4" s="1"/>
  <c r="I81" i="4"/>
  <c r="M73" i="4"/>
  <c r="AL164" i="51"/>
  <c r="AJ164" i="51"/>
  <c r="D95" i="58"/>
  <c r="D83" i="58"/>
  <c r="AP114" i="58"/>
  <c r="AQ114" i="58" s="1"/>
  <c r="AB120" i="56"/>
  <c r="Z120" i="56"/>
  <c r="AL120" i="16"/>
  <c r="AJ120" i="16"/>
  <c r="AL126" i="59"/>
  <c r="AP126" i="59" s="1"/>
  <c r="AQ126" i="59" s="1"/>
  <c r="AJ126" i="59"/>
  <c r="J28" i="4"/>
  <c r="J36" i="4" s="1"/>
  <c r="E28" i="4"/>
  <c r="E35" i="4" s="1"/>
  <c r="J81" i="4"/>
  <c r="AP176" i="51"/>
  <c r="AQ176" i="51" s="1"/>
  <c r="AL112" i="57"/>
  <c r="AJ112" i="57"/>
  <c r="AB116" i="59"/>
  <c r="Z116" i="59"/>
  <c r="E83" i="4"/>
  <c r="AJ176" i="51"/>
  <c r="AL176" i="51"/>
  <c r="G95" i="57"/>
  <c r="V23" i="59"/>
  <c r="V16" i="59"/>
  <c r="K43" i="4"/>
  <c r="C83" i="4"/>
  <c r="P74" i="4"/>
  <c r="AE181" i="51"/>
  <c r="AF181" i="51" s="1"/>
  <c r="AB127" i="56"/>
  <c r="AE127" i="56" s="1"/>
  <c r="AF127" i="56" s="1"/>
  <c r="Z127" i="56"/>
  <c r="J83" i="4"/>
  <c r="AB181" i="51"/>
  <c r="Z181" i="51"/>
  <c r="AB142" i="58"/>
  <c r="AE142" i="58" s="1"/>
  <c r="AF142" i="58" s="1"/>
  <c r="Z142" i="58"/>
  <c r="AB120" i="57"/>
  <c r="Z120" i="57"/>
  <c r="C99" i="57"/>
  <c r="M46" i="57"/>
  <c r="G47" i="57"/>
  <c r="F47" i="57"/>
  <c r="C87" i="57"/>
  <c r="D47" i="57"/>
  <c r="X14" i="16"/>
  <c r="AP128" i="59"/>
  <c r="AQ128" i="59" s="1"/>
  <c r="AB118" i="53"/>
  <c r="Z118" i="53"/>
  <c r="AB143" i="59"/>
  <c r="AE143" i="59" s="1"/>
  <c r="AF143" i="59" s="1"/>
  <c r="Z143" i="59"/>
  <c r="J32" i="4"/>
  <c r="J31" i="4"/>
  <c r="M83" i="4"/>
  <c r="G85" i="4"/>
  <c r="G76" i="4"/>
  <c r="AE120" i="57"/>
  <c r="AF120" i="57" s="1"/>
  <c r="AP187" i="51"/>
  <c r="AQ187" i="51" s="1"/>
  <c r="AE195" i="51"/>
  <c r="AF195" i="51" s="1"/>
  <c r="AP165" i="51"/>
  <c r="AQ165" i="51" s="1"/>
  <c r="AP115" i="58"/>
  <c r="AQ115" i="58" s="1"/>
  <c r="AE135" i="58"/>
  <c r="AF135" i="58" s="1"/>
  <c r="AE115" i="58"/>
  <c r="AF115" i="58" s="1"/>
  <c r="Z141" i="57"/>
  <c r="AP134" i="56"/>
  <c r="AQ134" i="56" s="1"/>
  <c r="AJ119" i="16"/>
  <c r="AE133" i="59"/>
  <c r="AF133" i="59" s="1"/>
  <c r="S23" i="50"/>
  <c r="M60" i="50"/>
  <c r="AE138" i="50"/>
  <c r="AF138" i="50" s="1"/>
  <c r="AE130" i="50"/>
  <c r="AF130" i="50" s="1"/>
  <c r="AE120" i="50"/>
  <c r="AF120" i="50" s="1"/>
  <c r="AE112" i="50"/>
  <c r="AF112" i="50" s="1"/>
  <c r="AB117" i="54"/>
  <c r="AE117" i="54" s="1"/>
  <c r="AF117" i="54" s="1"/>
  <c r="Z117" i="54"/>
  <c r="AJ132" i="55"/>
  <c r="AL132" i="55"/>
  <c r="E86" i="55"/>
  <c r="H20" i="55"/>
  <c r="I36" i="4"/>
  <c r="AJ136" i="58"/>
  <c r="AP137" i="58"/>
  <c r="AQ137" i="58" s="1"/>
  <c r="AE124" i="58"/>
  <c r="AF124" i="58" s="1"/>
  <c r="S22" i="58"/>
  <c r="S24" i="58" s="1"/>
  <c r="M60" i="57"/>
  <c r="M62" i="57" s="1"/>
  <c r="AP120" i="56"/>
  <c r="AQ120" i="56" s="1"/>
  <c r="AE137" i="56"/>
  <c r="AF137" i="56" s="1"/>
  <c r="AE129" i="56"/>
  <c r="AF129" i="56" s="1"/>
  <c r="Z113" i="16"/>
  <c r="Z128" i="16"/>
  <c r="AE116" i="16"/>
  <c r="AF116" i="16" s="1"/>
  <c r="AE113" i="59"/>
  <c r="AF113" i="59" s="1"/>
  <c r="M118" i="50"/>
  <c r="AJ123" i="50"/>
  <c r="Z127" i="50"/>
  <c r="Z145" i="50"/>
  <c r="F83" i="50"/>
  <c r="M45" i="50"/>
  <c r="C98" i="50"/>
  <c r="AL128" i="52"/>
  <c r="AP128" i="52" s="1"/>
  <c r="AQ128" i="52" s="1"/>
  <c r="AJ128" i="52"/>
  <c r="AL122" i="52"/>
  <c r="AP122" i="52" s="1"/>
  <c r="AQ122" i="52" s="1"/>
  <c r="AJ122" i="52"/>
  <c r="H98" i="52"/>
  <c r="AL137" i="53"/>
  <c r="AJ137" i="53"/>
  <c r="N81" i="4"/>
  <c r="L83" i="4"/>
  <c r="I82" i="4"/>
  <c r="L73" i="4"/>
  <c r="L79" i="4" s="1"/>
  <c r="AJ171" i="51"/>
  <c r="Z197" i="51"/>
  <c r="AL180" i="51"/>
  <c r="AP180" i="51" s="1"/>
  <c r="AQ180" i="51" s="1"/>
  <c r="AP175" i="51"/>
  <c r="AQ175" i="51" s="1"/>
  <c r="AP163" i="51"/>
  <c r="AQ163" i="51" s="1"/>
  <c r="Z123" i="58"/>
  <c r="D74" i="58"/>
  <c r="AB115" i="58"/>
  <c r="AP120" i="58"/>
  <c r="AQ120" i="58" s="1"/>
  <c r="AP136" i="58"/>
  <c r="AQ136" i="58" s="1"/>
  <c r="E47" i="57"/>
  <c r="Z119" i="57"/>
  <c r="Z124" i="57"/>
  <c r="AJ127" i="57"/>
  <c r="Z136" i="57"/>
  <c r="E87" i="57"/>
  <c r="F87" i="57" s="1"/>
  <c r="H87" i="57" s="1"/>
  <c r="AL132" i="57"/>
  <c r="AL118" i="57"/>
  <c r="AE114" i="57"/>
  <c r="AF114" i="57" s="1"/>
  <c r="H31" i="57"/>
  <c r="M60" i="56"/>
  <c r="M62" i="56" s="1"/>
  <c r="Z119" i="56"/>
  <c r="AP112" i="56"/>
  <c r="AQ112" i="56" s="1"/>
  <c r="AE119" i="56"/>
  <c r="AF119" i="56" s="1"/>
  <c r="H18" i="56"/>
  <c r="S14" i="16"/>
  <c r="Z138" i="16"/>
  <c r="F83" i="16"/>
  <c r="L31" i="16"/>
  <c r="J47" i="59"/>
  <c r="Z113" i="59"/>
  <c r="AL112" i="59"/>
  <c r="AP112" i="59" s="1"/>
  <c r="AQ112" i="59" s="1"/>
  <c r="Z130" i="50"/>
  <c r="AL128" i="50"/>
  <c r="AB135" i="50"/>
  <c r="M60" i="54"/>
  <c r="M62" i="54" s="1"/>
  <c r="O54" i="54"/>
  <c r="Z136" i="54"/>
  <c r="AB136" i="54"/>
  <c r="D85" i="58"/>
  <c r="AB141" i="58"/>
  <c r="AP125" i="58"/>
  <c r="AQ125" i="58" s="1"/>
  <c r="AL125" i="57"/>
  <c r="AL111" i="57"/>
  <c r="C96" i="57"/>
  <c r="X23" i="56"/>
  <c r="AB144" i="56"/>
  <c r="AB134" i="56"/>
  <c r="AB124" i="56"/>
  <c r="AE111" i="56"/>
  <c r="AF111" i="56" s="1"/>
  <c r="H94" i="56"/>
  <c r="J94" i="56" s="1"/>
  <c r="AL133" i="16"/>
  <c r="AB133" i="16"/>
  <c r="V22" i="59"/>
  <c r="V24" i="59" s="1"/>
  <c r="AL132" i="59"/>
  <c r="AP132" i="59" s="1"/>
  <c r="AQ132" i="59" s="1"/>
  <c r="AL135" i="50"/>
  <c r="Z120" i="53"/>
  <c r="AB120" i="53"/>
  <c r="AB117" i="53"/>
  <c r="AE117" i="53" s="1"/>
  <c r="AF117" i="53" s="1"/>
  <c r="Z117" i="53"/>
  <c r="T18" i="55"/>
  <c r="T21" i="55"/>
  <c r="AJ134" i="55"/>
  <c r="AL134" i="55"/>
  <c r="AE175" i="51"/>
  <c r="AF175" i="51" s="1"/>
  <c r="D83" i="52"/>
  <c r="D95" i="52"/>
  <c r="X14" i="53"/>
  <c r="X23" i="53" s="1"/>
  <c r="X22" i="53"/>
  <c r="X24" i="53" s="1"/>
  <c r="AB141" i="53"/>
  <c r="Z141" i="53"/>
  <c r="X14" i="54"/>
  <c r="X23" i="54" s="1"/>
  <c r="X22" i="54"/>
  <c r="X24" i="54" s="1"/>
  <c r="L82" i="4"/>
  <c r="T189" i="51"/>
  <c r="T193" i="51" s="1"/>
  <c r="O56" i="58"/>
  <c r="G99" i="58"/>
  <c r="W22" i="58"/>
  <c r="W24" i="58" s="1"/>
  <c r="H32" i="58"/>
  <c r="AE144" i="58"/>
  <c r="AF144" i="58" s="1"/>
  <c r="H47" i="57"/>
  <c r="Z134" i="57"/>
  <c r="AE136" i="57"/>
  <c r="AF136" i="57" s="1"/>
  <c r="AP114" i="56"/>
  <c r="AQ114" i="56" s="1"/>
  <c r="G96" i="56"/>
  <c r="E87" i="16"/>
  <c r="F87" i="16" s="1"/>
  <c r="AL121" i="16"/>
  <c r="M42" i="16"/>
  <c r="M47" i="16" s="1"/>
  <c r="D159" i="16" s="1"/>
  <c r="AJ127" i="59"/>
  <c r="AB144" i="59"/>
  <c r="AB112" i="59"/>
  <c r="I30" i="50"/>
  <c r="AJ124" i="50"/>
  <c r="C86" i="50"/>
  <c r="AP115" i="50"/>
  <c r="AQ115" i="50" s="1"/>
  <c r="L30" i="50"/>
  <c r="C95" i="50"/>
  <c r="T22" i="52"/>
  <c r="T24" i="52" s="1"/>
  <c r="T14" i="52"/>
  <c r="H47" i="52"/>
  <c r="C94" i="52"/>
  <c r="AE141" i="53"/>
  <c r="AF141" i="53" s="1"/>
  <c r="D99" i="53"/>
  <c r="D87" i="53"/>
  <c r="Z116" i="54"/>
  <c r="AB146" i="54"/>
  <c r="Z146" i="54"/>
  <c r="V14" i="55"/>
  <c r="V22" i="55"/>
  <c r="V24" i="55" s="1"/>
  <c r="L34" i="55"/>
  <c r="H34" i="55"/>
  <c r="K81" i="4"/>
  <c r="G30" i="4"/>
  <c r="AP179" i="51"/>
  <c r="AQ179" i="51" s="1"/>
  <c r="AP126" i="58"/>
  <c r="AQ126" i="58" s="1"/>
  <c r="I47" i="57"/>
  <c r="C84" i="57"/>
  <c r="AB135" i="52"/>
  <c r="AE135" i="52" s="1"/>
  <c r="AF135" i="52" s="1"/>
  <c r="Z135" i="52"/>
  <c r="AB138" i="54"/>
  <c r="Z138" i="54"/>
  <c r="C99" i="54"/>
  <c r="C87" i="54"/>
  <c r="M46" i="54"/>
  <c r="AB146" i="55"/>
  <c r="AE146" i="55" s="1"/>
  <c r="AF146" i="55" s="1"/>
  <c r="Z146" i="55"/>
  <c r="I33" i="55"/>
  <c r="L33" i="55"/>
  <c r="H33" i="55"/>
  <c r="Z186" i="51"/>
  <c r="AE122" i="58"/>
  <c r="AF122" i="58" s="1"/>
  <c r="AB127" i="58"/>
  <c r="AE127" i="58" s="1"/>
  <c r="AF127" i="58" s="1"/>
  <c r="J47" i="57"/>
  <c r="AE118" i="57"/>
  <c r="AF118" i="57" s="1"/>
  <c r="G98" i="57"/>
  <c r="G98" i="56"/>
  <c r="H17" i="52"/>
  <c r="E83" i="52"/>
  <c r="D85" i="52"/>
  <c r="D97" i="52"/>
  <c r="AP119" i="53"/>
  <c r="AQ119" i="53" s="1"/>
  <c r="AE143" i="54"/>
  <c r="AF143" i="54" s="1"/>
  <c r="AB124" i="54"/>
  <c r="Z124" i="54"/>
  <c r="X14" i="55"/>
  <c r="X22" i="55"/>
  <c r="X24" i="55" s="1"/>
  <c r="M60" i="55"/>
  <c r="M62" i="55" s="1"/>
  <c r="O54" i="55"/>
  <c r="J80" i="4"/>
  <c r="G29" i="4"/>
  <c r="AJ188" i="51"/>
  <c r="AP183" i="51"/>
  <c r="AQ183" i="51" s="1"/>
  <c r="AP171" i="51"/>
  <c r="AQ171" i="51" s="1"/>
  <c r="AB189" i="51"/>
  <c r="AE189" i="51" s="1"/>
  <c r="AF189" i="51" s="1"/>
  <c r="AJ166" i="51"/>
  <c r="AE145" i="58"/>
  <c r="AF145" i="58" s="1"/>
  <c r="AE119" i="58"/>
  <c r="AF119" i="58" s="1"/>
  <c r="G95" i="58"/>
  <c r="I32" i="58"/>
  <c r="AB129" i="58"/>
  <c r="AP113" i="58"/>
  <c r="AQ113" i="58" s="1"/>
  <c r="AP121" i="58"/>
  <c r="AQ121" i="58" s="1"/>
  <c r="K47" i="57"/>
  <c r="F83" i="57"/>
  <c r="H83" i="57" s="1"/>
  <c r="AE110" i="57"/>
  <c r="AF110" i="57" s="1"/>
  <c r="M43" i="57"/>
  <c r="M47" i="57" s="1"/>
  <c r="D159" i="57" s="1"/>
  <c r="AJ134" i="56"/>
  <c r="AE133" i="56"/>
  <c r="AF133" i="56" s="1"/>
  <c r="T14" i="16"/>
  <c r="AE144" i="16"/>
  <c r="AF144" i="16" s="1"/>
  <c r="AE132" i="16"/>
  <c r="AF132" i="16" s="1"/>
  <c r="D47" i="59"/>
  <c r="M60" i="59"/>
  <c r="AJ124" i="59"/>
  <c r="AE131" i="59"/>
  <c r="AF131" i="59" s="1"/>
  <c r="AJ119" i="50"/>
  <c r="F85" i="50"/>
  <c r="H75" i="52"/>
  <c r="AE116" i="58"/>
  <c r="AF116" i="58" s="1"/>
  <c r="T14" i="57"/>
  <c r="T23" i="57" s="1"/>
  <c r="Z112" i="57"/>
  <c r="AP132" i="56"/>
  <c r="AQ132" i="56" s="1"/>
  <c r="AP124" i="56"/>
  <c r="AQ124" i="56" s="1"/>
  <c r="AP110" i="56"/>
  <c r="AJ128" i="59"/>
  <c r="F84" i="59"/>
  <c r="H84" i="59" s="1"/>
  <c r="AP113" i="59"/>
  <c r="AQ113" i="59" s="1"/>
  <c r="G94" i="59"/>
  <c r="H94" i="59" s="1"/>
  <c r="J47" i="50"/>
  <c r="D84" i="50"/>
  <c r="H33" i="50"/>
  <c r="G97" i="50"/>
  <c r="D86" i="52"/>
  <c r="V23" i="53"/>
  <c r="V16" i="53"/>
  <c r="Z130" i="54"/>
  <c r="AL113" i="54"/>
  <c r="AP113" i="54" s="1"/>
  <c r="AQ113" i="54" s="1"/>
  <c r="AJ113" i="54"/>
  <c r="AJ121" i="55"/>
  <c r="Z129" i="55"/>
  <c r="AE119" i="55"/>
  <c r="AF119" i="55" s="1"/>
  <c r="M82" i="4"/>
  <c r="L74" i="4"/>
  <c r="L75" i="4" s="1"/>
  <c r="Z182" i="51"/>
  <c r="AP185" i="51"/>
  <c r="AQ185" i="51" s="1"/>
  <c r="AP164" i="51"/>
  <c r="AQ164" i="51" s="1"/>
  <c r="AE171" i="51"/>
  <c r="AF171" i="51" s="1"/>
  <c r="AE161" i="51"/>
  <c r="Z122" i="58"/>
  <c r="Z131" i="58"/>
  <c r="AB111" i="58"/>
  <c r="AE111" i="58" s="1"/>
  <c r="AF111" i="58" s="1"/>
  <c r="AB133" i="58"/>
  <c r="AB145" i="58"/>
  <c r="Z138" i="57"/>
  <c r="Z111" i="56"/>
  <c r="Z124" i="16"/>
  <c r="AE134" i="16"/>
  <c r="AF134" i="16" s="1"/>
  <c r="Z115" i="59"/>
  <c r="AP133" i="59"/>
  <c r="AQ133" i="59" s="1"/>
  <c r="F84" i="50"/>
  <c r="AE136" i="50"/>
  <c r="AF136" i="50" s="1"/>
  <c r="AE128" i="50"/>
  <c r="AF128" i="50" s="1"/>
  <c r="AE110" i="50"/>
  <c r="AF110" i="50" s="1"/>
  <c r="AB132" i="53"/>
  <c r="Z132" i="53"/>
  <c r="AB124" i="53"/>
  <c r="AE124" i="53" s="1"/>
  <c r="AF124" i="53" s="1"/>
  <c r="Z124" i="53"/>
  <c r="C86" i="54"/>
  <c r="F86" i="54" s="1"/>
  <c r="H86" i="54" s="1"/>
  <c r="L47" i="54"/>
  <c r="K47" i="54"/>
  <c r="I47" i="54"/>
  <c r="H47" i="54"/>
  <c r="G47" i="54"/>
  <c r="C98" i="54"/>
  <c r="E47" i="54"/>
  <c r="AE133" i="52"/>
  <c r="AF133" i="52" s="1"/>
  <c r="G97" i="52"/>
  <c r="AE145" i="53"/>
  <c r="AF145" i="53" s="1"/>
  <c r="G99" i="54"/>
  <c r="L29" i="56"/>
  <c r="C82" i="16"/>
  <c r="H29" i="50"/>
  <c r="I29" i="50" s="1"/>
  <c r="E167" i="53"/>
  <c r="G29" i="6" s="1"/>
  <c r="AP132" i="52"/>
  <c r="AQ132" i="52" s="1"/>
  <c r="AE127" i="52"/>
  <c r="AF127" i="52" s="1"/>
  <c r="G99" i="52"/>
  <c r="G98" i="53"/>
  <c r="AP129" i="54"/>
  <c r="AQ129" i="54" s="1"/>
  <c r="AP123" i="54"/>
  <c r="AQ123" i="54" s="1"/>
  <c r="AP115" i="54"/>
  <c r="AQ115" i="54" s="1"/>
  <c r="L29" i="54"/>
  <c r="V16" i="54"/>
  <c r="I31" i="55"/>
  <c r="H32" i="55"/>
  <c r="E167" i="54"/>
  <c r="H29" i="6" s="1"/>
  <c r="E167" i="16"/>
  <c r="M29" i="6" s="1"/>
  <c r="AE122" i="50"/>
  <c r="AF122" i="50" s="1"/>
  <c r="AJ112" i="52"/>
  <c r="F86" i="52"/>
  <c r="H86" i="52" s="1"/>
  <c r="AE114" i="52"/>
  <c r="AF114" i="52" s="1"/>
  <c r="G96" i="52"/>
  <c r="M60" i="53"/>
  <c r="AJ129" i="53"/>
  <c r="AJ115" i="54"/>
  <c r="E83" i="55"/>
  <c r="AE138" i="55"/>
  <c r="AF138" i="55" s="1"/>
  <c r="G99" i="55"/>
  <c r="AP112" i="52"/>
  <c r="AQ112" i="52" s="1"/>
  <c r="AE137" i="52"/>
  <c r="AF137" i="52" s="1"/>
  <c r="AE129" i="52"/>
  <c r="AF129" i="52" s="1"/>
  <c r="AE119" i="52"/>
  <c r="AF119" i="52" s="1"/>
  <c r="AP119" i="54"/>
  <c r="AQ119" i="54" s="1"/>
  <c r="H31" i="55"/>
  <c r="L29" i="57"/>
  <c r="L29" i="51"/>
  <c r="F150" i="51" s="1"/>
  <c r="G150" i="51" s="1"/>
  <c r="AE121" i="52"/>
  <c r="AF121" i="52" s="1"/>
  <c r="T22" i="54"/>
  <c r="T24" i="54" s="1"/>
  <c r="AJ123" i="54"/>
  <c r="C97" i="54"/>
  <c r="AE117" i="55"/>
  <c r="AF117" i="55" s="1"/>
  <c r="G96" i="55"/>
  <c r="F84" i="52"/>
  <c r="H84" i="52" s="1"/>
  <c r="AP137" i="53"/>
  <c r="AQ137" i="53" s="1"/>
  <c r="AP121" i="53"/>
  <c r="AQ121" i="53" s="1"/>
  <c r="E167" i="56"/>
  <c r="L29" i="6" s="1"/>
  <c r="AE118" i="52"/>
  <c r="AF118" i="52" s="1"/>
  <c r="AE110" i="52"/>
  <c r="AP129" i="53"/>
  <c r="AQ129" i="53" s="1"/>
  <c r="AP113" i="53"/>
  <c r="AQ113" i="53" s="1"/>
  <c r="G97" i="54"/>
  <c r="AE144" i="55"/>
  <c r="AF144" i="55" s="1"/>
  <c r="AE134" i="55"/>
  <c r="AF134" i="55" s="1"/>
  <c r="F82" i="52"/>
  <c r="H82" i="52" s="1"/>
  <c r="H16" i="52"/>
  <c r="H22" i="52" s="1"/>
  <c r="D156" i="52" s="1"/>
  <c r="S21" i="50"/>
  <c r="S24" i="50" s="1"/>
  <c r="I54" i="50"/>
  <c r="O54" i="50"/>
  <c r="E167" i="50"/>
  <c r="E29" i="6" s="1"/>
  <c r="C82" i="50"/>
  <c r="L54" i="50"/>
  <c r="M76" i="4"/>
  <c r="J85" i="4"/>
  <c r="J76" i="4"/>
  <c r="K85" i="4"/>
  <c r="P76" i="4"/>
  <c r="M85" i="4"/>
  <c r="E29" i="4"/>
  <c r="E81" i="4" s="1"/>
  <c r="E30" i="4"/>
  <c r="E82" i="4" s="1"/>
  <c r="J365" i="3"/>
  <c r="F36" i="4"/>
  <c r="J69" i="4" s="1"/>
  <c r="I69" i="4"/>
  <c r="L69" i="4"/>
  <c r="Q76" i="4"/>
  <c r="Q85" i="4"/>
  <c r="B134" i="51"/>
  <c r="B135" i="51"/>
  <c r="B136" i="51"/>
  <c r="AF161" i="51"/>
  <c r="C73" i="4"/>
  <c r="C84" i="4"/>
  <c r="C76" i="4"/>
  <c r="C85" i="4"/>
  <c r="N69" i="4"/>
  <c r="O79" i="4"/>
  <c r="O86" i="4" s="1"/>
  <c r="O87" i="4" s="1"/>
  <c r="J378" i="3" s="1"/>
  <c r="O75" i="4"/>
  <c r="F84" i="4"/>
  <c r="F76" i="4"/>
  <c r="F73" i="4"/>
  <c r="F85" i="4"/>
  <c r="H80" i="4"/>
  <c r="H74" i="4"/>
  <c r="H69" i="4"/>
  <c r="N80" i="4"/>
  <c r="H84" i="4"/>
  <c r="H73" i="4"/>
  <c r="H76" i="4"/>
  <c r="H83" i="4"/>
  <c r="H85" i="4"/>
  <c r="K86" i="4"/>
  <c r="K87" i="4" s="1"/>
  <c r="J374" i="3" s="1"/>
  <c r="L80" i="4"/>
  <c r="L86" i="4" s="1"/>
  <c r="L87" i="4" s="1"/>
  <c r="J375" i="3" s="1"/>
  <c r="K36" i="4"/>
  <c r="K44" i="4" s="1"/>
  <c r="AB196" i="51"/>
  <c r="AE196" i="51" s="1"/>
  <c r="AF196" i="51" s="1"/>
  <c r="Z196" i="51"/>
  <c r="AB184" i="51"/>
  <c r="AE184" i="51" s="1"/>
  <c r="AF184" i="51" s="1"/>
  <c r="Z184" i="51"/>
  <c r="AB166" i="51"/>
  <c r="AE166" i="51" s="1"/>
  <c r="AF166" i="51" s="1"/>
  <c r="Z166" i="51"/>
  <c r="H81" i="4"/>
  <c r="E155" i="58"/>
  <c r="I155" i="58"/>
  <c r="D94" i="58"/>
  <c r="H94" i="58" s="1"/>
  <c r="D82" i="58"/>
  <c r="H82" i="58" s="1"/>
  <c r="U23" i="58"/>
  <c r="U16" i="58"/>
  <c r="U18" i="57"/>
  <c r="U21" i="57" s="1"/>
  <c r="W23" i="57"/>
  <c r="W16" i="57"/>
  <c r="AE133" i="57"/>
  <c r="AF133" i="57" s="1"/>
  <c r="AE115" i="57"/>
  <c r="AF115" i="57" s="1"/>
  <c r="AE118" i="56"/>
  <c r="AF118" i="56" s="1"/>
  <c r="E86" i="16"/>
  <c r="F86" i="16" s="1"/>
  <c r="H86" i="16" s="1"/>
  <c r="H20" i="16"/>
  <c r="AE138" i="59"/>
  <c r="AF138" i="59" s="1"/>
  <c r="J94" i="59"/>
  <c r="AE111" i="50"/>
  <c r="D85" i="50"/>
  <c r="H85" i="50" s="1"/>
  <c r="D97" i="50"/>
  <c r="AL126" i="52"/>
  <c r="AP126" i="52" s="1"/>
  <c r="AQ126" i="52" s="1"/>
  <c r="AJ126" i="52"/>
  <c r="AL124" i="52"/>
  <c r="AP124" i="52" s="1"/>
  <c r="AQ124" i="52" s="1"/>
  <c r="AJ124" i="52"/>
  <c r="AQ141" i="53"/>
  <c r="D207" i="51"/>
  <c r="I207" i="51"/>
  <c r="C16" i="51"/>
  <c r="C27" i="51"/>
  <c r="G27" i="51"/>
  <c r="E27" i="51"/>
  <c r="I35" i="4"/>
  <c r="H30" i="4"/>
  <c r="N68" i="4"/>
  <c r="O83" i="4"/>
  <c r="G15" i="4"/>
  <c r="C82" i="4"/>
  <c r="F69" i="4"/>
  <c r="F81" i="4"/>
  <c r="D83" i="4"/>
  <c r="C80" i="4"/>
  <c r="C69" i="4"/>
  <c r="C68" i="4"/>
  <c r="P80" i="4"/>
  <c r="M74" i="4"/>
  <c r="D28" i="4"/>
  <c r="D29" i="4"/>
  <c r="Q81" i="4" s="1"/>
  <c r="D32" i="4"/>
  <c r="N73" i="4"/>
  <c r="N76" i="4"/>
  <c r="E85" i="4"/>
  <c r="E73" i="4"/>
  <c r="E76" i="4"/>
  <c r="I80" i="4"/>
  <c r="H82" i="4"/>
  <c r="N82" i="4"/>
  <c r="K83" i="4"/>
  <c r="G32" i="4"/>
  <c r="O84" i="4"/>
  <c r="N85" i="4"/>
  <c r="L76" i="4"/>
  <c r="I73" i="4"/>
  <c r="I84" i="4"/>
  <c r="I85" i="4"/>
  <c r="K84" i="4"/>
  <c r="P73" i="4"/>
  <c r="G13" i="51"/>
  <c r="F11" i="51"/>
  <c r="B34" i="51" s="1"/>
  <c r="AE193" i="51"/>
  <c r="AF193" i="51" s="1"/>
  <c r="AB187" i="51"/>
  <c r="AE187" i="51" s="1"/>
  <c r="AF187" i="51" s="1"/>
  <c r="AE186" i="51"/>
  <c r="AF186" i="51" s="1"/>
  <c r="AB173" i="51"/>
  <c r="AE173" i="51" s="1"/>
  <c r="AF173" i="51" s="1"/>
  <c r="Z173" i="51"/>
  <c r="AE172" i="51"/>
  <c r="AF172" i="51" s="1"/>
  <c r="AB169" i="51"/>
  <c r="AE169" i="51" s="1"/>
  <c r="AF169" i="51" s="1"/>
  <c r="AE168" i="51"/>
  <c r="AF168" i="51" s="1"/>
  <c r="H31" i="58"/>
  <c r="L31" i="58"/>
  <c r="I31" i="58"/>
  <c r="M44" i="58"/>
  <c r="C85" i="58"/>
  <c r="F85" i="58" s="1"/>
  <c r="C97" i="58"/>
  <c r="F47" i="58"/>
  <c r="J47" i="58"/>
  <c r="Z142" i="57"/>
  <c r="AB142" i="57"/>
  <c r="AE142" i="57" s="1"/>
  <c r="AF142" i="57" s="1"/>
  <c r="AB122" i="57"/>
  <c r="AE122" i="57" s="1"/>
  <c r="AF122" i="57" s="1"/>
  <c r="Z122" i="57"/>
  <c r="AE146" i="56"/>
  <c r="AF146" i="56" s="1"/>
  <c r="AE110" i="56"/>
  <c r="X23" i="16"/>
  <c r="X16" i="16"/>
  <c r="O56" i="16"/>
  <c r="O60" i="16" s="1"/>
  <c r="M60" i="16"/>
  <c r="M62" i="16" s="1"/>
  <c r="T16" i="59"/>
  <c r="T23" i="59"/>
  <c r="I94" i="59"/>
  <c r="AB121" i="59"/>
  <c r="AE121" i="59" s="1"/>
  <c r="AF121" i="59" s="1"/>
  <c r="Z121" i="59"/>
  <c r="AL125" i="54"/>
  <c r="AP125" i="54" s="1"/>
  <c r="AQ125" i="54" s="1"/>
  <c r="AJ125" i="54"/>
  <c r="AL121" i="54"/>
  <c r="AP121" i="54" s="1"/>
  <c r="AQ121" i="54" s="1"/>
  <c r="AJ121" i="54"/>
  <c r="D30" i="4"/>
  <c r="O82" i="4" s="1"/>
  <c r="O74" i="4"/>
  <c r="O68" i="4"/>
  <c r="E74" i="4"/>
  <c r="E80" i="4"/>
  <c r="D74" i="4"/>
  <c r="D80" i="4"/>
  <c r="O85" i="4"/>
  <c r="I76" i="4"/>
  <c r="J79" i="4"/>
  <c r="J75" i="4"/>
  <c r="B107" i="51"/>
  <c r="E141" i="51"/>
  <c r="AP172" i="51"/>
  <c r="AQ172" i="51" s="1"/>
  <c r="AQ161" i="51"/>
  <c r="AB192" i="51"/>
  <c r="AE192" i="51" s="1"/>
  <c r="AF192" i="51" s="1"/>
  <c r="Z192" i="51"/>
  <c r="O16" i="51"/>
  <c r="O19" i="51" s="1"/>
  <c r="C74" i="4"/>
  <c r="AL128" i="58"/>
  <c r="AP128" i="58" s="1"/>
  <c r="AQ128" i="58" s="1"/>
  <c r="AJ128" i="58"/>
  <c r="AE143" i="57"/>
  <c r="AF143" i="57" s="1"/>
  <c r="AE123" i="57"/>
  <c r="AF123" i="57" s="1"/>
  <c r="H19" i="57"/>
  <c r="E85" i="57"/>
  <c r="F85" i="57" s="1"/>
  <c r="AQ110" i="56"/>
  <c r="AE136" i="56"/>
  <c r="AF136" i="56" s="1"/>
  <c r="AB142" i="16"/>
  <c r="AE142" i="16" s="1"/>
  <c r="AF142" i="16" s="1"/>
  <c r="Z142" i="16"/>
  <c r="AB114" i="16"/>
  <c r="AE114" i="16" s="1"/>
  <c r="AF114" i="16" s="1"/>
  <c r="Z114" i="16"/>
  <c r="M62" i="50"/>
  <c r="U14" i="54"/>
  <c r="U22" i="54"/>
  <c r="U24" i="54" s="1"/>
  <c r="F35" i="4"/>
  <c r="L68" i="4"/>
  <c r="J30" i="4"/>
  <c r="E32" i="4"/>
  <c r="E84" i="4" s="1"/>
  <c r="Q74" i="4"/>
  <c r="N74" i="4"/>
  <c r="P85" i="4"/>
  <c r="G73" i="4"/>
  <c r="G84" i="4"/>
  <c r="G80" i="4"/>
  <c r="K74" i="4"/>
  <c r="K75" i="4" s="1"/>
  <c r="K69" i="4"/>
  <c r="K68" i="4"/>
  <c r="M80" i="4"/>
  <c r="Q80" i="4"/>
  <c r="I83" i="4"/>
  <c r="G31" i="4"/>
  <c r="H28" i="4"/>
  <c r="I74" i="4"/>
  <c r="K76" i="4"/>
  <c r="O76" i="4"/>
  <c r="K80" i="4"/>
  <c r="G35" i="4"/>
  <c r="B41" i="51"/>
  <c r="B102" i="51"/>
  <c r="E146" i="51"/>
  <c r="Z172" i="51"/>
  <c r="Z178" i="51"/>
  <c r="AL172" i="51"/>
  <c r="AJ172" i="51"/>
  <c r="AE197" i="51"/>
  <c r="AF197" i="51" s="1"/>
  <c r="AE188" i="51"/>
  <c r="AF188" i="51" s="1"/>
  <c r="AE179" i="51"/>
  <c r="AF179" i="51" s="1"/>
  <c r="AE170" i="51"/>
  <c r="AF170" i="51" s="1"/>
  <c r="D50" i="51"/>
  <c r="C137" i="51" s="1"/>
  <c r="F137" i="51" s="1"/>
  <c r="G137" i="51" s="1"/>
  <c r="H137" i="51" s="1"/>
  <c r="C125" i="51"/>
  <c r="L75" i="58"/>
  <c r="D158" i="58" s="1"/>
  <c r="M70" i="58"/>
  <c r="S18" i="57"/>
  <c r="S21" i="57" s="1"/>
  <c r="V22" i="57"/>
  <c r="V24" i="57" s="1"/>
  <c r="V14" i="57"/>
  <c r="AP135" i="57"/>
  <c r="AQ135" i="57" s="1"/>
  <c r="AP129" i="57"/>
  <c r="AQ129" i="57" s="1"/>
  <c r="AP125" i="57"/>
  <c r="AQ125" i="57" s="1"/>
  <c r="AP121" i="57"/>
  <c r="AQ121" i="57" s="1"/>
  <c r="AP115" i="57"/>
  <c r="AQ115" i="57" s="1"/>
  <c r="AP111" i="57"/>
  <c r="AQ111" i="57" s="1"/>
  <c r="AB132" i="57"/>
  <c r="AE132" i="57" s="1"/>
  <c r="AF132" i="57" s="1"/>
  <c r="Z132" i="57"/>
  <c r="V18" i="56"/>
  <c r="V21" i="56" s="1"/>
  <c r="U14" i="56"/>
  <c r="U22" i="56"/>
  <c r="U24" i="56" s="1"/>
  <c r="AE128" i="56"/>
  <c r="AF128" i="56" s="1"/>
  <c r="AB122" i="16"/>
  <c r="AE122" i="16" s="1"/>
  <c r="AF122" i="16" s="1"/>
  <c r="Z122" i="16"/>
  <c r="D97" i="16"/>
  <c r="H97" i="16" s="1"/>
  <c r="D85" i="16"/>
  <c r="AL121" i="59"/>
  <c r="AP121" i="59" s="1"/>
  <c r="AQ121" i="59" s="1"/>
  <c r="AJ121" i="59"/>
  <c r="AL120" i="59"/>
  <c r="AP120" i="59" s="1"/>
  <c r="AQ120" i="59" s="1"/>
  <c r="AJ120" i="59"/>
  <c r="H33" i="59"/>
  <c r="I33" i="59"/>
  <c r="L33" i="59"/>
  <c r="AE129" i="50"/>
  <c r="AF129" i="50" s="1"/>
  <c r="AE130" i="52"/>
  <c r="AF130" i="52" s="1"/>
  <c r="AB135" i="54"/>
  <c r="AE135" i="54" s="1"/>
  <c r="AF135" i="54" s="1"/>
  <c r="Z135" i="54"/>
  <c r="O60" i="58"/>
  <c r="D98" i="58"/>
  <c r="D86" i="58"/>
  <c r="L34" i="58"/>
  <c r="I34" i="58"/>
  <c r="H34" i="58"/>
  <c r="AL127" i="58"/>
  <c r="AP127" i="58" s="1"/>
  <c r="AQ127" i="58" s="1"/>
  <c r="AJ127" i="58"/>
  <c r="X16" i="57"/>
  <c r="X23" i="57"/>
  <c r="D96" i="57"/>
  <c r="H96" i="57" s="1"/>
  <c r="D84" i="57"/>
  <c r="X18" i="56"/>
  <c r="X21" i="56" s="1"/>
  <c r="S22" i="56"/>
  <c r="S24" i="56" s="1"/>
  <c r="S14" i="56"/>
  <c r="O60" i="56"/>
  <c r="AL129" i="56"/>
  <c r="AP129" i="56" s="1"/>
  <c r="AQ129" i="56" s="1"/>
  <c r="AJ129" i="56"/>
  <c r="AL122" i="56"/>
  <c r="AP122" i="56" s="1"/>
  <c r="AQ122" i="56" s="1"/>
  <c r="AJ122" i="56"/>
  <c r="AL121" i="56"/>
  <c r="AP121" i="56" s="1"/>
  <c r="AQ121" i="56" s="1"/>
  <c r="AJ121" i="56"/>
  <c r="AL111" i="56"/>
  <c r="AP111" i="56" s="1"/>
  <c r="AQ111" i="56" s="1"/>
  <c r="AJ111" i="56"/>
  <c r="AE144" i="56"/>
  <c r="AF144" i="56" s="1"/>
  <c r="Z143" i="56"/>
  <c r="AB143" i="56"/>
  <c r="AE143" i="56" s="1"/>
  <c r="AF143" i="56" s="1"/>
  <c r="AE134" i="56"/>
  <c r="AF134" i="56" s="1"/>
  <c r="AE124" i="56"/>
  <c r="AF124" i="56" s="1"/>
  <c r="AB123" i="56"/>
  <c r="AE123" i="56" s="1"/>
  <c r="AF123" i="56" s="1"/>
  <c r="Z123" i="56"/>
  <c r="AE116" i="56"/>
  <c r="AF116" i="56" s="1"/>
  <c r="AB115" i="56"/>
  <c r="AE115" i="56" s="1"/>
  <c r="AF115" i="56" s="1"/>
  <c r="Z115" i="56"/>
  <c r="M42" i="56"/>
  <c r="L47" i="56"/>
  <c r="H47" i="56"/>
  <c r="D47" i="56"/>
  <c r="C95" i="56"/>
  <c r="J47" i="56"/>
  <c r="F47" i="56"/>
  <c r="K47" i="56"/>
  <c r="I47" i="56"/>
  <c r="T23" i="16"/>
  <c r="T16" i="16"/>
  <c r="AP137" i="16"/>
  <c r="AQ137" i="16" s="1"/>
  <c r="AP133" i="16"/>
  <c r="AQ133" i="16" s="1"/>
  <c r="AP127" i="16"/>
  <c r="AQ127" i="16" s="1"/>
  <c r="AP123" i="16"/>
  <c r="AQ123" i="16" s="1"/>
  <c r="AP119" i="16"/>
  <c r="AQ119" i="16" s="1"/>
  <c r="AP113" i="16"/>
  <c r="AQ113" i="16" s="1"/>
  <c r="AE143" i="16"/>
  <c r="AF143" i="16" s="1"/>
  <c r="AE133" i="16"/>
  <c r="AF133" i="16" s="1"/>
  <c r="AE123" i="16"/>
  <c r="AF123" i="16" s="1"/>
  <c r="AE115" i="16"/>
  <c r="AF115" i="16" s="1"/>
  <c r="E159" i="16"/>
  <c r="I159" i="16"/>
  <c r="D87" i="16"/>
  <c r="H87" i="16" s="1"/>
  <c r="D99" i="16"/>
  <c r="H99" i="16" s="1"/>
  <c r="AQ110" i="59"/>
  <c r="AE136" i="59"/>
  <c r="AF136" i="59" s="1"/>
  <c r="AB132" i="59"/>
  <c r="AE132" i="59" s="1"/>
  <c r="AF132" i="59" s="1"/>
  <c r="Z132" i="59"/>
  <c r="AB127" i="59"/>
  <c r="AE127" i="59" s="1"/>
  <c r="AF127" i="59" s="1"/>
  <c r="Z127" i="59"/>
  <c r="U23" i="50"/>
  <c r="U16" i="50"/>
  <c r="AP121" i="50"/>
  <c r="AQ121" i="50" s="1"/>
  <c r="AE133" i="50"/>
  <c r="AF133" i="50" s="1"/>
  <c r="AE115" i="50"/>
  <c r="AF115" i="50" s="1"/>
  <c r="D99" i="50"/>
  <c r="H99" i="50" s="1"/>
  <c r="D87" i="50"/>
  <c r="H87" i="50" s="1"/>
  <c r="AQ141" i="52"/>
  <c r="AE134" i="52"/>
  <c r="AF134" i="52" s="1"/>
  <c r="M62" i="53"/>
  <c r="AB141" i="54"/>
  <c r="AE141" i="54" s="1"/>
  <c r="AF141" i="54" s="1"/>
  <c r="Z141" i="54"/>
  <c r="AE118" i="55"/>
  <c r="AF118" i="55" s="1"/>
  <c r="K35" i="4"/>
  <c r="C81" i="4"/>
  <c r="F83" i="4"/>
  <c r="D81" i="4"/>
  <c r="F80" i="4"/>
  <c r="F74" i="4"/>
  <c r="D85" i="4"/>
  <c r="D76" i="4"/>
  <c r="Z162" i="51"/>
  <c r="AJ163" i="51"/>
  <c r="Z170" i="51"/>
  <c r="AJ177" i="51"/>
  <c r="AJ179" i="51"/>
  <c r="Z179" i="51"/>
  <c r="AJ183" i="51"/>
  <c r="AJ187" i="51"/>
  <c r="AP174" i="51"/>
  <c r="AQ174" i="51" s="1"/>
  <c r="AP170" i="51"/>
  <c r="AQ170" i="51" s="1"/>
  <c r="AP162" i="51"/>
  <c r="AQ162" i="51" s="1"/>
  <c r="AE182" i="51"/>
  <c r="AF182" i="51" s="1"/>
  <c r="AE164" i="51"/>
  <c r="AF164" i="51" s="1"/>
  <c r="AP166" i="51"/>
  <c r="AQ166" i="51" s="1"/>
  <c r="AJ119" i="58"/>
  <c r="D208" i="51"/>
  <c r="E208" i="51" s="1"/>
  <c r="D73" i="4"/>
  <c r="V16" i="58"/>
  <c r="D84" i="58"/>
  <c r="D96" i="58"/>
  <c r="W16" i="58"/>
  <c r="W23" i="58"/>
  <c r="X22" i="58"/>
  <c r="X24" i="58" s="1"/>
  <c r="X14" i="58"/>
  <c r="T22" i="58"/>
  <c r="T24" i="58" s="1"/>
  <c r="T14" i="58"/>
  <c r="M46" i="58"/>
  <c r="C87" i="58"/>
  <c r="F87" i="58" s="1"/>
  <c r="H87" i="58" s="1"/>
  <c r="C99" i="58"/>
  <c r="M42" i="58"/>
  <c r="E47" i="58"/>
  <c r="I47" i="58"/>
  <c r="C83" i="58"/>
  <c r="F83" i="58" s="1"/>
  <c r="H83" i="58" s="1"/>
  <c r="L47" i="58"/>
  <c r="G47" i="58"/>
  <c r="D47" i="58"/>
  <c r="K47" i="58"/>
  <c r="C95" i="58"/>
  <c r="H95" i="58" s="1"/>
  <c r="H47" i="58"/>
  <c r="AP119" i="58"/>
  <c r="AQ119" i="58" s="1"/>
  <c r="AP137" i="57"/>
  <c r="AQ137" i="57" s="1"/>
  <c r="AP133" i="57"/>
  <c r="AQ133" i="57" s="1"/>
  <c r="AP127" i="57"/>
  <c r="AQ127" i="57" s="1"/>
  <c r="AP123" i="57"/>
  <c r="AQ123" i="57" s="1"/>
  <c r="AP119" i="57"/>
  <c r="AQ119" i="57" s="1"/>
  <c r="AE144" i="57"/>
  <c r="AF144" i="57" s="1"/>
  <c r="AE134" i="57"/>
  <c r="AF134" i="57" s="1"/>
  <c r="AE124" i="57"/>
  <c r="AF124" i="57" s="1"/>
  <c r="AE116" i="57"/>
  <c r="AF116" i="57" s="1"/>
  <c r="H98" i="57"/>
  <c r="E47" i="56"/>
  <c r="I32" i="56"/>
  <c r="H32" i="56"/>
  <c r="L32" i="56"/>
  <c r="C97" i="56"/>
  <c r="M44" i="56"/>
  <c r="W21" i="16"/>
  <c r="U23" i="16"/>
  <c r="U16" i="16"/>
  <c r="H85" i="16"/>
  <c r="AP136" i="16"/>
  <c r="AQ136" i="16" s="1"/>
  <c r="AP132" i="16"/>
  <c r="AQ132" i="16" s="1"/>
  <c r="AP126" i="16"/>
  <c r="AQ126" i="16" s="1"/>
  <c r="AP122" i="16"/>
  <c r="AQ122" i="16" s="1"/>
  <c r="AP118" i="16"/>
  <c r="AQ118" i="16" s="1"/>
  <c r="AP112" i="16"/>
  <c r="AQ112" i="16" s="1"/>
  <c r="AE141" i="16"/>
  <c r="AF141" i="16" s="1"/>
  <c r="AE131" i="16"/>
  <c r="AF131" i="16" s="1"/>
  <c r="AB130" i="16"/>
  <c r="AE130" i="16" s="1"/>
  <c r="AF130" i="16" s="1"/>
  <c r="Z130" i="16"/>
  <c r="AE121" i="16"/>
  <c r="AF121" i="16" s="1"/>
  <c r="AE113" i="16"/>
  <c r="AF113" i="16" s="1"/>
  <c r="AL125" i="59"/>
  <c r="AP125" i="59" s="1"/>
  <c r="AQ125" i="59" s="1"/>
  <c r="AJ125" i="59"/>
  <c r="AL114" i="59"/>
  <c r="AP114" i="59" s="1"/>
  <c r="AQ114" i="59" s="1"/>
  <c r="AJ114" i="59"/>
  <c r="AB145" i="59"/>
  <c r="AE145" i="59" s="1"/>
  <c r="AF145" i="59" s="1"/>
  <c r="Z145" i="59"/>
  <c r="W23" i="50"/>
  <c r="W16" i="50"/>
  <c r="X22" i="50"/>
  <c r="X24" i="50" s="1"/>
  <c r="X14" i="50"/>
  <c r="AP137" i="50"/>
  <c r="AQ137" i="50" s="1"/>
  <c r="AP129" i="50"/>
  <c r="AQ129" i="50" s="1"/>
  <c r="AJ118" i="50"/>
  <c r="AE137" i="50"/>
  <c r="AF137" i="50" s="1"/>
  <c r="AE119" i="50"/>
  <c r="AF119" i="50" s="1"/>
  <c r="W16" i="52"/>
  <c r="S18" i="52"/>
  <c r="S23" i="52" s="1"/>
  <c r="AL136" i="52"/>
  <c r="AP136" i="52" s="1"/>
  <c r="AQ136" i="52" s="1"/>
  <c r="AJ136" i="52"/>
  <c r="AE138" i="52"/>
  <c r="AF138" i="52" s="1"/>
  <c r="AE120" i="52"/>
  <c r="AF120" i="52" s="1"/>
  <c r="AE115" i="52"/>
  <c r="AF115" i="52" s="1"/>
  <c r="AF110" i="52"/>
  <c r="AL128" i="53"/>
  <c r="AP128" i="53" s="1"/>
  <c r="AQ128" i="53" s="1"/>
  <c r="AJ128" i="53"/>
  <c r="AL114" i="53"/>
  <c r="AP114" i="53" s="1"/>
  <c r="AQ114" i="53" s="1"/>
  <c r="AJ114" i="53"/>
  <c r="D96" i="54"/>
  <c r="H96" i="54" s="1"/>
  <c r="D84" i="54"/>
  <c r="H84" i="54" s="1"/>
  <c r="D94" i="54"/>
  <c r="H94" i="54" s="1"/>
  <c r="D82" i="54"/>
  <c r="G54" i="54"/>
  <c r="S16" i="55"/>
  <c r="O60" i="55"/>
  <c r="AE178" i="51"/>
  <c r="AF178" i="51" s="1"/>
  <c r="AE137" i="58"/>
  <c r="AF137" i="58" s="1"/>
  <c r="AE133" i="58"/>
  <c r="AF133" i="58" s="1"/>
  <c r="AE131" i="58"/>
  <c r="AF131" i="58" s="1"/>
  <c r="AE129" i="58"/>
  <c r="AF129" i="58" s="1"/>
  <c r="AE123" i="58"/>
  <c r="AF123" i="58" s="1"/>
  <c r="AE117" i="58"/>
  <c r="AF117" i="58" s="1"/>
  <c r="AE113" i="58"/>
  <c r="AF113" i="58" s="1"/>
  <c r="H99" i="58"/>
  <c r="S21" i="58"/>
  <c r="C98" i="58"/>
  <c r="M45" i="58"/>
  <c r="C86" i="58"/>
  <c r="F86" i="58" s="1"/>
  <c r="H86" i="58" s="1"/>
  <c r="AB143" i="58"/>
  <c r="AE143" i="58" s="1"/>
  <c r="AF143" i="58" s="1"/>
  <c r="Z143" i="58"/>
  <c r="AP134" i="58"/>
  <c r="AQ134" i="58" s="1"/>
  <c r="O60" i="57"/>
  <c r="AP136" i="57"/>
  <c r="AQ136" i="57" s="1"/>
  <c r="AP132" i="57"/>
  <c r="AQ132" i="57" s="1"/>
  <c r="AP126" i="57"/>
  <c r="AQ126" i="57" s="1"/>
  <c r="AP122" i="57"/>
  <c r="AQ122" i="57" s="1"/>
  <c r="AP118" i="57"/>
  <c r="AQ118" i="57" s="1"/>
  <c r="AP112" i="57"/>
  <c r="AQ112" i="57" s="1"/>
  <c r="AE145" i="57"/>
  <c r="AF145" i="57" s="1"/>
  <c r="AE135" i="57"/>
  <c r="AF135" i="57" s="1"/>
  <c r="AE127" i="57"/>
  <c r="AF127" i="57" s="1"/>
  <c r="AE117" i="57"/>
  <c r="AF117" i="57" s="1"/>
  <c r="H20" i="57"/>
  <c r="E86" i="57"/>
  <c r="F86" i="57" s="1"/>
  <c r="H86" i="57" s="1"/>
  <c r="W22" i="56"/>
  <c r="W24" i="56" s="1"/>
  <c r="W14" i="56"/>
  <c r="G47" i="56"/>
  <c r="C83" i="56"/>
  <c r="F83" i="56" s="1"/>
  <c r="H83" i="56" s="1"/>
  <c r="AL136" i="56"/>
  <c r="AP136" i="56" s="1"/>
  <c r="AQ136" i="56" s="1"/>
  <c r="AJ136" i="56"/>
  <c r="AL135" i="56"/>
  <c r="AP135" i="56" s="1"/>
  <c r="AQ135" i="56" s="1"/>
  <c r="AJ135" i="56"/>
  <c r="AL125" i="56"/>
  <c r="AP125" i="56" s="1"/>
  <c r="AQ125" i="56" s="1"/>
  <c r="AJ125" i="56"/>
  <c r="AL118" i="56"/>
  <c r="AP118" i="56" s="1"/>
  <c r="AQ118" i="56" s="1"/>
  <c r="AJ118" i="56"/>
  <c r="AL115" i="56"/>
  <c r="AP115" i="56" s="1"/>
  <c r="AQ115" i="56" s="1"/>
  <c r="AJ115" i="56"/>
  <c r="AQ141" i="56"/>
  <c r="AB145" i="56"/>
  <c r="AE145" i="56" s="1"/>
  <c r="AF145" i="56" s="1"/>
  <c r="Z145" i="56"/>
  <c r="AB135" i="56"/>
  <c r="AE135" i="56" s="1"/>
  <c r="AF135" i="56" s="1"/>
  <c r="Z135" i="56"/>
  <c r="AB117" i="56"/>
  <c r="AE117" i="56" s="1"/>
  <c r="AF117" i="56" s="1"/>
  <c r="Z117" i="56"/>
  <c r="H31" i="56"/>
  <c r="I31" i="56"/>
  <c r="M46" i="56"/>
  <c r="C99" i="56"/>
  <c r="C87" i="56"/>
  <c r="F87" i="56" s="1"/>
  <c r="H87" i="56" s="1"/>
  <c r="D83" i="16"/>
  <c r="H83" i="16" s="1"/>
  <c r="D95" i="16"/>
  <c r="H95" i="16" s="1"/>
  <c r="H94" i="16"/>
  <c r="M62" i="59"/>
  <c r="AB137" i="59"/>
  <c r="AE137" i="59" s="1"/>
  <c r="AF137" i="59" s="1"/>
  <c r="Z137" i="59"/>
  <c r="AB117" i="59"/>
  <c r="AE117" i="59" s="1"/>
  <c r="AF117" i="59" s="1"/>
  <c r="Z117" i="59"/>
  <c r="AE143" i="50"/>
  <c r="AF143" i="50" s="1"/>
  <c r="AE123" i="50"/>
  <c r="AF123" i="50" s="1"/>
  <c r="O54" i="52"/>
  <c r="O60" i="52" s="1"/>
  <c r="M60" i="52"/>
  <c r="M62" i="52" s="1"/>
  <c r="AE144" i="52"/>
  <c r="AF144" i="52" s="1"/>
  <c r="AE124" i="52"/>
  <c r="AF124" i="52" s="1"/>
  <c r="H33" i="52"/>
  <c r="L33" i="52"/>
  <c r="I33" i="52"/>
  <c r="H29" i="52"/>
  <c r="I29" i="52" s="1"/>
  <c r="I98" i="52"/>
  <c r="J98" i="52"/>
  <c r="M44" i="52"/>
  <c r="C97" i="52"/>
  <c r="H97" i="52" s="1"/>
  <c r="C85" i="52"/>
  <c r="D47" i="52"/>
  <c r="AE134" i="53"/>
  <c r="AF134" i="53" s="1"/>
  <c r="AB145" i="54"/>
  <c r="AE145" i="54" s="1"/>
  <c r="AF145" i="54" s="1"/>
  <c r="Z145" i="54"/>
  <c r="H33" i="54"/>
  <c r="I33" i="54"/>
  <c r="L33" i="54"/>
  <c r="H21" i="54"/>
  <c r="E87" i="54"/>
  <c r="F87" i="54" s="1"/>
  <c r="H87" i="54" s="1"/>
  <c r="H17" i="54"/>
  <c r="E83" i="54"/>
  <c r="F83" i="54" s="1"/>
  <c r="D69" i="54"/>
  <c r="D75" i="54" s="1"/>
  <c r="L60" i="54"/>
  <c r="D155" i="54" s="1"/>
  <c r="AE162" i="51"/>
  <c r="AF162" i="51" s="1"/>
  <c r="AP129" i="58"/>
  <c r="AQ129" i="58" s="1"/>
  <c r="AB146" i="58"/>
  <c r="AE146" i="58" s="1"/>
  <c r="AF146" i="58" s="1"/>
  <c r="Z146" i="58"/>
  <c r="AB136" i="58"/>
  <c r="AE136" i="58" s="1"/>
  <c r="AF136" i="58" s="1"/>
  <c r="Z136" i="58"/>
  <c r="AB134" i="58"/>
  <c r="AE134" i="58" s="1"/>
  <c r="AF134" i="58" s="1"/>
  <c r="Z134" i="58"/>
  <c r="AB132" i="58"/>
  <c r="AE132" i="58" s="1"/>
  <c r="AF132" i="58" s="1"/>
  <c r="Z132" i="58"/>
  <c r="AB128" i="58"/>
  <c r="AE128" i="58" s="1"/>
  <c r="AF128" i="58" s="1"/>
  <c r="Z128" i="58"/>
  <c r="Z120" i="58"/>
  <c r="AB120" i="58"/>
  <c r="AE120" i="58" s="1"/>
  <c r="AF120" i="58" s="1"/>
  <c r="AB118" i="58"/>
  <c r="AE118" i="58" s="1"/>
  <c r="AF118" i="58" s="1"/>
  <c r="Z118" i="58"/>
  <c r="AB114" i="58"/>
  <c r="AE114" i="58" s="1"/>
  <c r="AF114" i="58" s="1"/>
  <c r="Z114" i="58"/>
  <c r="Z112" i="58"/>
  <c r="AB112" i="58"/>
  <c r="AE112" i="58" s="1"/>
  <c r="AF112" i="58" s="1"/>
  <c r="O61" i="58"/>
  <c r="G97" i="58"/>
  <c r="H97" i="58" s="1"/>
  <c r="I33" i="58"/>
  <c r="L33" i="58"/>
  <c r="H33" i="58"/>
  <c r="M43" i="58"/>
  <c r="C96" i="58"/>
  <c r="C84" i="58"/>
  <c r="F84" i="58" s="1"/>
  <c r="H84" i="58" s="1"/>
  <c r="AE110" i="58"/>
  <c r="AB121" i="58"/>
  <c r="AE121" i="58" s="1"/>
  <c r="AF121" i="58" s="1"/>
  <c r="AE141" i="58"/>
  <c r="AF141" i="58" s="1"/>
  <c r="AP110" i="58"/>
  <c r="AP123" i="58"/>
  <c r="AQ123" i="58" s="1"/>
  <c r="AP132" i="58"/>
  <c r="AQ132" i="58" s="1"/>
  <c r="AP134" i="57"/>
  <c r="AQ134" i="57" s="1"/>
  <c r="AP128" i="57"/>
  <c r="AQ128" i="57" s="1"/>
  <c r="AP124" i="57"/>
  <c r="AQ124" i="57" s="1"/>
  <c r="AP120" i="57"/>
  <c r="AQ120" i="57" s="1"/>
  <c r="AP114" i="57"/>
  <c r="AQ114" i="57" s="1"/>
  <c r="AP110" i="57"/>
  <c r="AE137" i="57"/>
  <c r="AF137" i="57" s="1"/>
  <c r="AE129" i="57"/>
  <c r="AF129" i="57" s="1"/>
  <c r="AE119" i="57"/>
  <c r="AF119" i="57" s="1"/>
  <c r="AE111" i="57"/>
  <c r="L75" i="57"/>
  <c r="D158" i="57" s="1"/>
  <c r="H18" i="57"/>
  <c r="E84" i="57"/>
  <c r="F84" i="57" s="1"/>
  <c r="G94" i="57"/>
  <c r="H94" i="57" s="1"/>
  <c r="AA35" i="56"/>
  <c r="F85" i="56"/>
  <c r="H85" i="56" s="1"/>
  <c r="AE138" i="56"/>
  <c r="AF138" i="56" s="1"/>
  <c r="AE130" i="56"/>
  <c r="AF130" i="56" s="1"/>
  <c r="AE120" i="56"/>
  <c r="AF120" i="56" s="1"/>
  <c r="AE112" i="56"/>
  <c r="AF112" i="56" s="1"/>
  <c r="L34" i="56"/>
  <c r="L35" i="56" s="1"/>
  <c r="I34" i="56"/>
  <c r="H34" i="56"/>
  <c r="L30" i="56"/>
  <c r="I30" i="56"/>
  <c r="H30" i="56"/>
  <c r="G99" i="56"/>
  <c r="C86" i="56"/>
  <c r="F86" i="56" s="1"/>
  <c r="H86" i="56" s="1"/>
  <c r="C98" i="56"/>
  <c r="H98" i="56" s="1"/>
  <c r="G97" i="56"/>
  <c r="H97" i="56" s="1"/>
  <c r="C96" i="56"/>
  <c r="H96" i="56" s="1"/>
  <c r="C84" i="56"/>
  <c r="F84" i="56" s="1"/>
  <c r="H84" i="56" s="1"/>
  <c r="G95" i="56"/>
  <c r="H95" i="56" s="1"/>
  <c r="V14" i="16"/>
  <c r="Z110" i="16"/>
  <c r="AP135" i="16"/>
  <c r="AQ135" i="16" s="1"/>
  <c r="AP129" i="16"/>
  <c r="AQ129" i="16" s="1"/>
  <c r="AP125" i="16"/>
  <c r="AQ125" i="16" s="1"/>
  <c r="AP121" i="16"/>
  <c r="AQ121" i="16" s="1"/>
  <c r="AP115" i="16"/>
  <c r="AQ115" i="16" s="1"/>
  <c r="AP111" i="16"/>
  <c r="AQ111" i="16" s="1"/>
  <c r="AE145" i="16"/>
  <c r="AF145" i="16" s="1"/>
  <c r="AE135" i="16"/>
  <c r="AF135" i="16" s="1"/>
  <c r="AE127" i="16"/>
  <c r="AF127" i="16" s="1"/>
  <c r="AE117" i="16"/>
  <c r="AF117" i="16" s="1"/>
  <c r="L75" i="16"/>
  <c r="D158" i="16" s="1"/>
  <c r="H98" i="16"/>
  <c r="H96" i="16"/>
  <c r="S14" i="59"/>
  <c r="AL129" i="59"/>
  <c r="AP129" i="59" s="1"/>
  <c r="AQ129" i="59" s="1"/>
  <c r="AJ129" i="59"/>
  <c r="AL111" i="59"/>
  <c r="AP111" i="59" s="1"/>
  <c r="AQ111" i="59" s="1"/>
  <c r="AJ111" i="59"/>
  <c r="AE146" i="59"/>
  <c r="AF146" i="59" s="1"/>
  <c r="Z142" i="59"/>
  <c r="AB142" i="59"/>
  <c r="AE142" i="59" s="1"/>
  <c r="AF142" i="59" s="1"/>
  <c r="AE128" i="59"/>
  <c r="AF128" i="59" s="1"/>
  <c r="AE122" i="59"/>
  <c r="AF122" i="59" s="1"/>
  <c r="AE118" i="59"/>
  <c r="AF118" i="59" s="1"/>
  <c r="AE114" i="59"/>
  <c r="AF114" i="59" s="1"/>
  <c r="AE110" i="59"/>
  <c r="H31" i="59"/>
  <c r="I31" i="59"/>
  <c r="L31" i="59"/>
  <c r="V22" i="50"/>
  <c r="V24" i="50" s="1"/>
  <c r="V14" i="50"/>
  <c r="Z136" i="50"/>
  <c r="AP135" i="50"/>
  <c r="AQ135" i="50" s="1"/>
  <c r="AP127" i="50"/>
  <c r="AQ127" i="50" s="1"/>
  <c r="AP123" i="50"/>
  <c r="AQ123" i="50" s="1"/>
  <c r="AP119" i="50"/>
  <c r="AQ119" i="50" s="1"/>
  <c r="AL114" i="50"/>
  <c r="AP114" i="50" s="1"/>
  <c r="AQ114" i="50" s="1"/>
  <c r="AJ114" i="50"/>
  <c r="J96" i="50"/>
  <c r="I96" i="50"/>
  <c r="AE113" i="52"/>
  <c r="AF113" i="52" s="1"/>
  <c r="H31" i="52"/>
  <c r="L31" i="52"/>
  <c r="I31" i="52"/>
  <c r="C99" i="52"/>
  <c r="H99" i="52" s="1"/>
  <c r="M46" i="52"/>
  <c r="C87" i="52"/>
  <c r="F87" i="52" s="1"/>
  <c r="H87" i="52" s="1"/>
  <c r="C95" i="52"/>
  <c r="H95" i="52" s="1"/>
  <c r="M42" i="52"/>
  <c r="C83" i="52"/>
  <c r="F83" i="52" s="1"/>
  <c r="H83" i="52" s="1"/>
  <c r="K47" i="52"/>
  <c r="G47" i="52"/>
  <c r="I47" i="52"/>
  <c r="E47" i="52"/>
  <c r="F47" i="52"/>
  <c r="J47" i="52"/>
  <c r="U14" i="53"/>
  <c r="U22" i="53"/>
  <c r="U24" i="53" s="1"/>
  <c r="AL124" i="53"/>
  <c r="AP124" i="53" s="1"/>
  <c r="AQ124" i="53" s="1"/>
  <c r="AJ124" i="53"/>
  <c r="AL110" i="53"/>
  <c r="AP110" i="53" s="1"/>
  <c r="AJ110" i="53"/>
  <c r="AB143" i="53"/>
  <c r="AE143" i="53" s="1"/>
  <c r="AF143" i="53" s="1"/>
  <c r="Z143" i="53"/>
  <c r="AE138" i="53"/>
  <c r="AF138" i="53" s="1"/>
  <c r="AE116" i="53"/>
  <c r="AF116" i="53" s="1"/>
  <c r="AL135" i="54"/>
  <c r="AP135" i="54" s="1"/>
  <c r="AQ135" i="54" s="1"/>
  <c r="AJ135" i="54"/>
  <c r="H31" i="54"/>
  <c r="I31" i="54"/>
  <c r="L31" i="54"/>
  <c r="E85" i="54"/>
  <c r="F85" i="54" s="1"/>
  <c r="H19" i="54"/>
  <c r="D97" i="54"/>
  <c r="H97" i="54" s="1"/>
  <c r="D85" i="54"/>
  <c r="AB136" i="55"/>
  <c r="AE136" i="55" s="1"/>
  <c r="AF136" i="55" s="1"/>
  <c r="Z136" i="55"/>
  <c r="AB132" i="55"/>
  <c r="AE132" i="55" s="1"/>
  <c r="AF132" i="55" s="1"/>
  <c r="Z132" i="55"/>
  <c r="I110" i="50"/>
  <c r="AP113" i="57"/>
  <c r="AQ113" i="57" s="1"/>
  <c r="AE141" i="57"/>
  <c r="AF141" i="57" s="1"/>
  <c r="AE131" i="57"/>
  <c r="AF131" i="57" s="1"/>
  <c r="AE121" i="57"/>
  <c r="AF121" i="57" s="1"/>
  <c r="AE113" i="57"/>
  <c r="AF113" i="57" s="1"/>
  <c r="D99" i="57"/>
  <c r="H99" i="57" s="1"/>
  <c r="D87" i="57"/>
  <c r="D97" i="57"/>
  <c r="H97" i="57" s="1"/>
  <c r="D85" i="57"/>
  <c r="D95" i="57"/>
  <c r="H95" i="57" s="1"/>
  <c r="D83" i="57"/>
  <c r="AL137" i="56"/>
  <c r="AP137" i="56" s="1"/>
  <c r="AQ137" i="56" s="1"/>
  <c r="AJ137" i="56"/>
  <c r="AL133" i="56"/>
  <c r="AP133" i="56" s="1"/>
  <c r="AQ133" i="56" s="1"/>
  <c r="AJ133" i="56"/>
  <c r="AL127" i="56"/>
  <c r="AP127" i="56" s="1"/>
  <c r="AQ127" i="56" s="1"/>
  <c r="AJ127" i="56"/>
  <c r="AL123" i="56"/>
  <c r="AP123" i="56" s="1"/>
  <c r="AQ123" i="56" s="1"/>
  <c r="AJ123" i="56"/>
  <c r="AL119" i="56"/>
  <c r="AP119" i="56" s="1"/>
  <c r="AQ119" i="56" s="1"/>
  <c r="AJ119" i="56"/>
  <c r="AL113" i="56"/>
  <c r="AP113" i="56" s="1"/>
  <c r="AQ113" i="56" s="1"/>
  <c r="AJ113" i="56"/>
  <c r="AE142" i="56"/>
  <c r="AF142" i="56" s="1"/>
  <c r="AB141" i="56"/>
  <c r="AE141" i="56" s="1"/>
  <c r="AF141" i="56" s="1"/>
  <c r="Z141" i="56"/>
  <c r="AE132" i="56"/>
  <c r="AF132" i="56" s="1"/>
  <c r="AB131" i="56"/>
  <c r="AE131" i="56" s="1"/>
  <c r="AF131" i="56" s="1"/>
  <c r="Z131" i="56"/>
  <c r="AE122" i="56"/>
  <c r="AF122" i="56" s="1"/>
  <c r="AE114" i="56"/>
  <c r="AF114" i="56" s="1"/>
  <c r="H33" i="56"/>
  <c r="I33" i="56"/>
  <c r="AP134" i="16"/>
  <c r="AQ134" i="16" s="1"/>
  <c r="AP128" i="16"/>
  <c r="AQ128" i="16" s="1"/>
  <c r="AP124" i="16"/>
  <c r="AQ124" i="16" s="1"/>
  <c r="AP120" i="16"/>
  <c r="AQ120" i="16" s="1"/>
  <c r="AP114" i="16"/>
  <c r="AQ114" i="16" s="1"/>
  <c r="AP110" i="16"/>
  <c r="AE137" i="16"/>
  <c r="AF137" i="16" s="1"/>
  <c r="AE129" i="16"/>
  <c r="AF129" i="16" s="1"/>
  <c r="AE119" i="16"/>
  <c r="AF119" i="16" s="1"/>
  <c r="AE111" i="16"/>
  <c r="H18" i="16"/>
  <c r="E84" i="16"/>
  <c r="F84" i="16" s="1"/>
  <c r="H84" i="16" s="1"/>
  <c r="U22" i="59"/>
  <c r="U24" i="59" s="1"/>
  <c r="U14" i="59"/>
  <c r="W22" i="59"/>
  <c r="W24" i="59" s="1"/>
  <c r="W14" i="59"/>
  <c r="O60" i="59"/>
  <c r="AL135" i="59"/>
  <c r="AP135" i="59" s="1"/>
  <c r="AQ135" i="59" s="1"/>
  <c r="AJ135" i="59"/>
  <c r="AL115" i="59"/>
  <c r="AP115" i="59" s="1"/>
  <c r="AQ115" i="59" s="1"/>
  <c r="AJ115" i="59"/>
  <c r="AE135" i="59"/>
  <c r="AF135" i="59" s="1"/>
  <c r="AE130" i="59"/>
  <c r="AF130" i="59" s="1"/>
  <c r="T22" i="50"/>
  <c r="T24" i="50" s="1"/>
  <c r="T14" i="50"/>
  <c r="AP133" i="50"/>
  <c r="AQ133" i="50" s="1"/>
  <c r="AL112" i="50"/>
  <c r="AP112" i="50" s="1"/>
  <c r="AQ112" i="50" s="1"/>
  <c r="AJ112" i="50"/>
  <c r="AB146" i="50"/>
  <c r="AE146" i="50" s="1"/>
  <c r="AF146" i="50" s="1"/>
  <c r="Z146" i="50"/>
  <c r="AB142" i="50"/>
  <c r="AE142" i="50" s="1"/>
  <c r="AF142" i="50" s="1"/>
  <c r="Z142" i="50"/>
  <c r="AB132" i="50"/>
  <c r="AE132" i="50" s="1"/>
  <c r="AF132" i="50" s="1"/>
  <c r="Z132" i="50"/>
  <c r="AB118" i="50"/>
  <c r="AE118" i="50" s="1"/>
  <c r="AF118" i="50" s="1"/>
  <c r="Z118" i="50"/>
  <c r="AB114" i="50"/>
  <c r="AE114" i="50" s="1"/>
  <c r="AF114" i="50" s="1"/>
  <c r="Z114" i="50"/>
  <c r="D98" i="50"/>
  <c r="H98" i="50" s="1"/>
  <c r="D86" i="50"/>
  <c r="D95" i="50"/>
  <c r="H95" i="50" s="1"/>
  <c r="D83" i="50"/>
  <c r="H83" i="50" s="1"/>
  <c r="U23" i="52"/>
  <c r="U16" i="52"/>
  <c r="F85" i="52"/>
  <c r="H85" i="52" s="1"/>
  <c r="H88" i="52" s="1"/>
  <c r="AL120" i="52"/>
  <c r="AP120" i="52" s="1"/>
  <c r="AQ120" i="52" s="1"/>
  <c r="AJ120" i="52"/>
  <c r="AB143" i="52"/>
  <c r="AE143" i="52" s="1"/>
  <c r="AF143" i="52" s="1"/>
  <c r="Z143" i="52"/>
  <c r="AB123" i="52"/>
  <c r="AE123" i="52" s="1"/>
  <c r="AF123" i="52" s="1"/>
  <c r="Z123" i="52"/>
  <c r="AL134" i="53"/>
  <c r="AP134" i="53" s="1"/>
  <c r="AQ134" i="53" s="1"/>
  <c r="AJ134" i="53"/>
  <c r="AL120" i="53"/>
  <c r="AP120" i="53" s="1"/>
  <c r="AQ120" i="53" s="1"/>
  <c r="AJ120" i="53"/>
  <c r="AE130" i="53"/>
  <c r="AF130" i="53" s="1"/>
  <c r="AE120" i="53"/>
  <c r="AF120" i="53" s="1"/>
  <c r="AL111" i="54"/>
  <c r="AP111" i="54" s="1"/>
  <c r="AQ111" i="54" s="1"/>
  <c r="AJ111" i="54"/>
  <c r="Z127" i="54"/>
  <c r="AB127" i="54"/>
  <c r="AE127" i="54" s="1"/>
  <c r="AF127" i="54" s="1"/>
  <c r="AB121" i="54"/>
  <c r="AE121" i="54" s="1"/>
  <c r="AF121" i="54" s="1"/>
  <c r="Z121" i="54"/>
  <c r="Z113" i="54"/>
  <c r="AB113" i="54"/>
  <c r="AE113" i="54" s="1"/>
  <c r="AF113" i="54" s="1"/>
  <c r="L75" i="56"/>
  <c r="D158" i="56" s="1"/>
  <c r="AE144" i="59"/>
  <c r="AF144" i="59" s="1"/>
  <c r="AE124" i="59"/>
  <c r="AF124" i="59" s="1"/>
  <c r="AE116" i="59"/>
  <c r="AF116" i="59" s="1"/>
  <c r="H32" i="59"/>
  <c r="L32" i="59"/>
  <c r="M46" i="59"/>
  <c r="C99" i="59"/>
  <c r="G98" i="59"/>
  <c r="C97" i="59"/>
  <c r="M44" i="59"/>
  <c r="G96" i="59"/>
  <c r="H96" i="59" s="1"/>
  <c r="M42" i="59"/>
  <c r="C95" i="59"/>
  <c r="H84" i="50"/>
  <c r="AP128" i="50"/>
  <c r="AQ128" i="50" s="1"/>
  <c r="AP124" i="50"/>
  <c r="AQ124" i="50" s="1"/>
  <c r="AP120" i="50"/>
  <c r="AQ120" i="50" s="1"/>
  <c r="AE141" i="50"/>
  <c r="AF141" i="50" s="1"/>
  <c r="AE131" i="50"/>
  <c r="AF131" i="50" s="1"/>
  <c r="AE121" i="50"/>
  <c r="AF121" i="50" s="1"/>
  <c r="AE113" i="50"/>
  <c r="AF113" i="50" s="1"/>
  <c r="L35" i="50"/>
  <c r="T16" i="52"/>
  <c r="T23" i="52"/>
  <c r="X16" i="52"/>
  <c r="X23" i="52"/>
  <c r="AJ137" i="52"/>
  <c r="AL137" i="52"/>
  <c r="AP137" i="52" s="1"/>
  <c r="AQ137" i="52" s="1"/>
  <c r="AL133" i="52"/>
  <c r="AP133" i="52" s="1"/>
  <c r="AQ133" i="52" s="1"/>
  <c r="AJ133" i="52"/>
  <c r="AL127" i="52"/>
  <c r="AP127" i="52" s="1"/>
  <c r="AQ127" i="52" s="1"/>
  <c r="AJ127" i="52"/>
  <c r="AL119" i="52"/>
  <c r="AP119" i="52" s="1"/>
  <c r="AQ119" i="52" s="1"/>
  <c r="AJ119" i="52"/>
  <c r="AJ113" i="52"/>
  <c r="AE142" i="52"/>
  <c r="AF142" i="52" s="1"/>
  <c r="Z141" i="52"/>
  <c r="AB141" i="52"/>
  <c r="AE141" i="52" s="1"/>
  <c r="AF141" i="52" s="1"/>
  <c r="AE132" i="52"/>
  <c r="AF132" i="52" s="1"/>
  <c r="Z131" i="52"/>
  <c r="AB131" i="52"/>
  <c r="AE131" i="52" s="1"/>
  <c r="AF131" i="52" s="1"/>
  <c r="AE122" i="52"/>
  <c r="AF122" i="52" s="1"/>
  <c r="O61" i="52"/>
  <c r="C96" i="52"/>
  <c r="H96" i="52" s="1"/>
  <c r="M43" i="52"/>
  <c r="S22" i="53"/>
  <c r="S14" i="53"/>
  <c r="AL132" i="53"/>
  <c r="AP132" i="53" s="1"/>
  <c r="AQ132" i="53" s="1"/>
  <c r="AJ132" i="53"/>
  <c r="AL122" i="53"/>
  <c r="AP122" i="53" s="1"/>
  <c r="AQ122" i="53" s="1"/>
  <c r="AJ122" i="53"/>
  <c r="AL112" i="53"/>
  <c r="AP112" i="53" s="1"/>
  <c r="AQ112" i="53" s="1"/>
  <c r="AJ112" i="53"/>
  <c r="AB137" i="53"/>
  <c r="AE137" i="53" s="1"/>
  <c r="AF137" i="53" s="1"/>
  <c r="Z137" i="53"/>
  <c r="AB133" i="53"/>
  <c r="AE133" i="53" s="1"/>
  <c r="AF133" i="53" s="1"/>
  <c r="Z133" i="53"/>
  <c r="AB123" i="53"/>
  <c r="AE123" i="53" s="1"/>
  <c r="AF123" i="53" s="1"/>
  <c r="Z123" i="53"/>
  <c r="AB119" i="53"/>
  <c r="AE119" i="53" s="1"/>
  <c r="AF119" i="53" s="1"/>
  <c r="Z119" i="53"/>
  <c r="AB115" i="53"/>
  <c r="AE115" i="53" s="1"/>
  <c r="AF115" i="53" s="1"/>
  <c r="Z115" i="53"/>
  <c r="Z111" i="53"/>
  <c r="H32" i="53"/>
  <c r="L32" i="53"/>
  <c r="I32" i="53"/>
  <c r="H20" i="53"/>
  <c r="E86" i="53"/>
  <c r="F86" i="53" s="1"/>
  <c r="S22" i="54"/>
  <c r="S14" i="54"/>
  <c r="AL133" i="54"/>
  <c r="AP133" i="54" s="1"/>
  <c r="AQ133" i="54" s="1"/>
  <c r="AJ133" i="54"/>
  <c r="AE146" i="54"/>
  <c r="AF146" i="54" s="1"/>
  <c r="AE136" i="54"/>
  <c r="AF136" i="54" s="1"/>
  <c r="AE132" i="54"/>
  <c r="AF132" i="54" s="1"/>
  <c r="AE122" i="54"/>
  <c r="AF122" i="54" s="1"/>
  <c r="AE118" i="54"/>
  <c r="AF118" i="54" s="1"/>
  <c r="AE114" i="54"/>
  <c r="AF114" i="54" s="1"/>
  <c r="D98" i="54"/>
  <c r="H98" i="54" s="1"/>
  <c r="D86" i="54"/>
  <c r="D95" i="54"/>
  <c r="H95" i="54" s="1"/>
  <c r="D83" i="54"/>
  <c r="C130" i="55"/>
  <c r="D367" i="3"/>
  <c r="Z129" i="53" s="1"/>
  <c r="C128" i="55"/>
  <c r="C131" i="54"/>
  <c r="C128" i="54"/>
  <c r="C129" i="53"/>
  <c r="M118" i="52"/>
  <c r="C142" i="55"/>
  <c r="C112" i="55"/>
  <c r="C112" i="54"/>
  <c r="C112" i="53"/>
  <c r="D366" i="3"/>
  <c r="Z142" i="53" s="1"/>
  <c r="C142" i="54"/>
  <c r="C142" i="53"/>
  <c r="M110" i="52"/>
  <c r="M111" i="50"/>
  <c r="F83" i="55"/>
  <c r="H83" i="55" s="1"/>
  <c r="AE114" i="55"/>
  <c r="AF114" i="55" s="1"/>
  <c r="C98" i="55"/>
  <c r="H98" i="55" s="1"/>
  <c r="M45" i="55"/>
  <c r="C86" i="55"/>
  <c r="S138" i="53"/>
  <c r="T110" i="53"/>
  <c r="S138" i="55"/>
  <c r="T110" i="55"/>
  <c r="AJ113" i="59"/>
  <c r="AJ123" i="59"/>
  <c r="AJ133" i="59"/>
  <c r="C87" i="59"/>
  <c r="F87" i="59" s="1"/>
  <c r="H87" i="59" s="1"/>
  <c r="C85" i="59"/>
  <c r="F85" i="59" s="1"/>
  <c r="H85" i="59" s="1"/>
  <c r="AE134" i="59"/>
  <c r="AF134" i="59" s="1"/>
  <c r="AE120" i="59"/>
  <c r="AF120" i="59" s="1"/>
  <c r="AE112" i="59"/>
  <c r="AF112" i="59" s="1"/>
  <c r="H75" i="59"/>
  <c r="L34" i="59"/>
  <c r="H34" i="59"/>
  <c r="L30" i="59"/>
  <c r="H30" i="59"/>
  <c r="L60" i="59"/>
  <c r="D155" i="59" s="1"/>
  <c r="D70" i="59"/>
  <c r="D75" i="59" s="1"/>
  <c r="G99" i="59"/>
  <c r="H99" i="59" s="1"/>
  <c r="C86" i="59"/>
  <c r="F86" i="59" s="1"/>
  <c r="H86" i="59" s="1"/>
  <c r="C98" i="59"/>
  <c r="G97" i="59"/>
  <c r="H97" i="59" s="1"/>
  <c r="G95" i="59"/>
  <c r="O60" i="50"/>
  <c r="Z120" i="50"/>
  <c r="F86" i="50"/>
  <c r="AP136" i="50"/>
  <c r="AQ136" i="50" s="1"/>
  <c r="AP126" i="50"/>
  <c r="AQ126" i="50" s="1"/>
  <c r="AP122" i="50"/>
  <c r="AQ122" i="50" s="1"/>
  <c r="AE145" i="50"/>
  <c r="AF145" i="50" s="1"/>
  <c r="AE135" i="50"/>
  <c r="AF135" i="50" s="1"/>
  <c r="AE127" i="50"/>
  <c r="AF127" i="50" s="1"/>
  <c r="AE117" i="50"/>
  <c r="AF117" i="50" s="1"/>
  <c r="H16" i="50"/>
  <c r="H22" i="50" s="1"/>
  <c r="D156" i="50" s="1"/>
  <c r="E82" i="50"/>
  <c r="V23" i="52"/>
  <c r="V16" i="52"/>
  <c r="Z121" i="52"/>
  <c r="M134" i="52"/>
  <c r="AJ134" i="50"/>
  <c r="AL135" i="52"/>
  <c r="AP135" i="52" s="1"/>
  <c r="AQ135" i="52" s="1"/>
  <c r="AJ135" i="52"/>
  <c r="AJ129" i="52"/>
  <c r="AL129" i="52"/>
  <c r="AP129" i="52" s="1"/>
  <c r="AQ129" i="52" s="1"/>
  <c r="AL125" i="52"/>
  <c r="AP125" i="52" s="1"/>
  <c r="AQ125" i="52" s="1"/>
  <c r="AJ125" i="52"/>
  <c r="AJ121" i="52"/>
  <c r="AL121" i="52"/>
  <c r="AP121" i="52" s="1"/>
  <c r="AQ121" i="52" s="1"/>
  <c r="AJ115" i="52"/>
  <c r="AL115" i="52"/>
  <c r="AP115" i="52" s="1"/>
  <c r="AQ115" i="52" s="1"/>
  <c r="AJ111" i="52"/>
  <c r="AL111" i="52"/>
  <c r="AP111" i="52" s="1"/>
  <c r="AQ111" i="52" s="1"/>
  <c r="AE146" i="52"/>
  <c r="AF146" i="52" s="1"/>
  <c r="AB145" i="52"/>
  <c r="AE145" i="52" s="1"/>
  <c r="AF145" i="52" s="1"/>
  <c r="Z145" i="52"/>
  <c r="AE136" i="52"/>
  <c r="AF136" i="52" s="1"/>
  <c r="AE128" i="52"/>
  <c r="AF128" i="52" s="1"/>
  <c r="Z117" i="52"/>
  <c r="AB117" i="52"/>
  <c r="AE117" i="52" s="1"/>
  <c r="AF117" i="52" s="1"/>
  <c r="AB112" i="52"/>
  <c r="AE112" i="52" s="1"/>
  <c r="AF112" i="52" s="1"/>
  <c r="Z112" i="52"/>
  <c r="X16" i="53"/>
  <c r="W22" i="53"/>
  <c r="W24" i="53" s="1"/>
  <c r="W14" i="53"/>
  <c r="AL136" i="53"/>
  <c r="AP136" i="53" s="1"/>
  <c r="AQ136" i="53" s="1"/>
  <c r="AJ136" i="53"/>
  <c r="AL126" i="53"/>
  <c r="AP126" i="53" s="1"/>
  <c r="AQ126" i="53" s="1"/>
  <c r="AJ126" i="53"/>
  <c r="AL118" i="53"/>
  <c r="AP118" i="53" s="1"/>
  <c r="AQ118" i="53" s="1"/>
  <c r="AJ118" i="53"/>
  <c r="AE144" i="53"/>
  <c r="AF144" i="53" s="1"/>
  <c r="H34" i="53"/>
  <c r="I34" i="53"/>
  <c r="L34" i="53"/>
  <c r="H30" i="53"/>
  <c r="I30" i="53"/>
  <c r="L30" i="53"/>
  <c r="L35" i="53" s="1"/>
  <c r="H18" i="53"/>
  <c r="H22" i="53" s="1"/>
  <c r="D156" i="53" s="1"/>
  <c r="E84" i="53"/>
  <c r="F84" i="53" s="1"/>
  <c r="T18" i="54"/>
  <c r="T21" i="54" s="1"/>
  <c r="X16" i="54"/>
  <c r="W22" i="54"/>
  <c r="W24" i="54" s="1"/>
  <c r="W14" i="54"/>
  <c r="AL137" i="54"/>
  <c r="AP137" i="54" s="1"/>
  <c r="AQ137" i="54" s="1"/>
  <c r="AJ137" i="54"/>
  <c r="AL127" i="54"/>
  <c r="AP127" i="54" s="1"/>
  <c r="AQ127" i="54" s="1"/>
  <c r="AJ127" i="54"/>
  <c r="H99" i="54"/>
  <c r="AE122" i="55"/>
  <c r="AF122" i="55" s="1"/>
  <c r="C96" i="55"/>
  <c r="H96" i="55" s="1"/>
  <c r="M43" i="55"/>
  <c r="C84" i="55"/>
  <c r="F84" i="55" s="1"/>
  <c r="H84" i="55" s="1"/>
  <c r="G47" i="55"/>
  <c r="K47" i="55"/>
  <c r="H75" i="56"/>
  <c r="L75" i="59"/>
  <c r="D158" i="59" s="1"/>
  <c r="AE111" i="52"/>
  <c r="AF111" i="52" s="1"/>
  <c r="H32" i="52"/>
  <c r="L32" i="52"/>
  <c r="O60" i="53"/>
  <c r="AE146" i="53"/>
  <c r="AF146" i="53" s="1"/>
  <c r="AE136" i="53"/>
  <c r="AF136" i="53" s="1"/>
  <c r="AB135" i="53"/>
  <c r="AE135" i="53" s="1"/>
  <c r="AF135" i="53" s="1"/>
  <c r="Z135" i="53"/>
  <c r="AE128" i="53"/>
  <c r="AF128" i="53" s="1"/>
  <c r="Z127" i="53"/>
  <c r="AB127" i="53"/>
  <c r="AE127" i="53" s="1"/>
  <c r="AF127" i="53" s="1"/>
  <c r="AE118" i="53"/>
  <c r="AF118" i="53" s="1"/>
  <c r="H31" i="53"/>
  <c r="I31" i="53"/>
  <c r="E85" i="53"/>
  <c r="F85" i="53" s="1"/>
  <c r="H85" i="53" s="1"/>
  <c r="H19" i="53"/>
  <c r="H99" i="53"/>
  <c r="H97" i="53"/>
  <c r="H95" i="53"/>
  <c r="O60" i="54"/>
  <c r="O61" i="54" s="1"/>
  <c r="AL136" i="54"/>
  <c r="AP136" i="54" s="1"/>
  <c r="AQ136" i="54" s="1"/>
  <c r="AJ136" i="54"/>
  <c r="AL132" i="54"/>
  <c r="AP132" i="54" s="1"/>
  <c r="AQ132" i="54" s="1"/>
  <c r="AJ132" i="54"/>
  <c r="AL126" i="54"/>
  <c r="AP126" i="54" s="1"/>
  <c r="AQ126" i="54" s="1"/>
  <c r="AJ126" i="54"/>
  <c r="AL122" i="54"/>
  <c r="AP122" i="54" s="1"/>
  <c r="AQ122" i="54" s="1"/>
  <c r="AJ122" i="54"/>
  <c r="AL118" i="54"/>
  <c r="AP118" i="54" s="1"/>
  <c r="AQ118" i="54" s="1"/>
  <c r="AJ118" i="54"/>
  <c r="AL112" i="54"/>
  <c r="AP112" i="54" s="1"/>
  <c r="AQ112" i="54" s="1"/>
  <c r="AJ112" i="54"/>
  <c r="AE144" i="54"/>
  <c r="AF144" i="54" s="1"/>
  <c r="AE134" i="54"/>
  <c r="AF134" i="54" s="1"/>
  <c r="AB133" i="54"/>
  <c r="AE133" i="54" s="1"/>
  <c r="AF133" i="54" s="1"/>
  <c r="Z133" i="54"/>
  <c r="AE124" i="54"/>
  <c r="AF124" i="54" s="1"/>
  <c r="AB123" i="54"/>
  <c r="AE123" i="54" s="1"/>
  <c r="AF123" i="54" s="1"/>
  <c r="Z123" i="54"/>
  <c r="AE116" i="54"/>
  <c r="AF116" i="54" s="1"/>
  <c r="AB115" i="54"/>
  <c r="AE115" i="54" s="1"/>
  <c r="AF115" i="54" s="1"/>
  <c r="Z115" i="54"/>
  <c r="H32" i="54"/>
  <c r="L32" i="54"/>
  <c r="I32" i="54"/>
  <c r="U14" i="55"/>
  <c r="U22" i="55"/>
  <c r="U24" i="55" s="1"/>
  <c r="W22" i="55"/>
  <c r="W24" i="55" s="1"/>
  <c r="W14" i="55"/>
  <c r="D369" i="3"/>
  <c r="AJ110" i="50" s="1"/>
  <c r="C110" i="55"/>
  <c r="C110" i="54"/>
  <c r="C110" i="53"/>
  <c r="AP136" i="55"/>
  <c r="AQ136" i="55" s="1"/>
  <c r="AP132" i="55"/>
  <c r="AQ132" i="55" s="1"/>
  <c r="AP126" i="55"/>
  <c r="AQ126" i="55" s="1"/>
  <c r="AP122" i="55"/>
  <c r="AQ122" i="55" s="1"/>
  <c r="AP118" i="55"/>
  <c r="AQ118" i="55" s="1"/>
  <c r="AP112" i="55"/>
  <c r="AQ112" i="55" s="1"/>
  <c r="AE129" i="55"/>
  <c r="AF129" i="55" s="1"/>
  <c r="AB127" i="55"/>
  <c r="AE127" i="55" s="1"/>
  <c r="AF127" i="55" s="1"/>
  <c r="Z127" i="55"/>
  <c r="AB121" i="55"/>
  <c r="AE121" i="55" s="1"/>
  <c r="AF121" i="55" s="1"/>
  <c r="Z121" i="55"/>
  <c r="AB113" i="55"/>
  <c r="AE113" i="55" s="1"/>
  <c r="AF113" i="55" s="1"/>
  <c r="Z113" i="55"/>
  <c r="C97" i="55"/>
  <c r="H97" i="55" s="1"/>
  <c r="C85" i="55"/>
  <c r="F85" i="55" s="1"/>
  <c r="H85" i="55" s="1"/>
  <c r="S138" i="58"/>
  <c r="D75" i="58"/>
  <c r="L35" i="57"/>
  <c r="L75" i="52"/>
  <c r="D158" i="52" s="1"/>
  <c r="H34" i="52"/>
  <c r="L34" i="52"/>
  <c r="H30" i="52"/>
  <c r="L30" i="52"/>
  <c r="AJ121" i="53"/>
  <c r="AJ125" i="53"/>
  <c r="Z145" i="53"/>
  <c r="AE132" i="53"/>
  <c r="AF132" i="53" s="1"/>
  <c r="AE122" i="53"/>
  <c r="AF122" i="53" s="1"/>
  <c r="AB121" i="53"/>
  <c r="AE121" i="53" s="1"/>
  <c r="AF121" i="53" s="1"/>
  <c r="Z121" i="53"/>
  <c r="AE114" i="53"/>
  <c r="AF114" i="53" s="1"/>
  <c r="Z113" i="53"/>
  <c r="AB113" i="53"/>
  <c r="AE113" i="53" s="1"/>
  <c r="AF113" i="53" s="1"/>
  <c r="H33" i="53"/>
  <c r="I33" i="53"/>
  <c r="H21" i="53"/>
  <c r="E87" i="53"/>
  <c r="F87" i="53" s="1"/>
  <c r="H87" i="53" s="1"/>
  <c r="H17" i="53"/>
  <c r="E83" i="53"/>
  <c r="F83" i="53" s="1"/>
  <c r="H83" i="53" s="1"/>
  <c r="D69" i="53"/>
  <c r="D75" i="53" s="1"/>
  <c r="D160" i="53" s="1"/>
  <c r="L60" i="53"/>
  <c r="D155" i="53" s="1"/>
  <c r="D98" i="53"/>
  <c r="H98" i="53" s="1"/>
  <c r="D86" i="53"/>
  <c r="D96" i="53"/>
  <c r="H96" i="53" s="1"/>
  <c r="D84" i="53"/>
  <c r="G94" i="53"/>
  <c r="H94" i="53" s="1"/>
  <c r="AL134" i="54"/>
  <c r="AP134" i="54" s="1"/>
  <c r="AQ134" i="54" s="1"/>
  <c r="AJ134" i="54"/>
  <c r="AL128" i="54"/>
  <c r="AP128" i="54" s="1"/>
  <c r="AQ128" i="54" s="1"/>
  <c r="AJ128" i="54"/>
  <c r="AL124" i="54"/>
  <c r="AP124" i="54" s="1"/>
  <c r="AQ124" i="54" s="1"/>
  <c r="AJ124" i="54"/>
  <c r="AL120" i="54"/>
  <c r="AP120" i="54" s="1"/>
  <c r="AQ120" i="54" s="1"/>
  <c r="AJ120" i="54"/>
  <c r="AL114" i="54"/>
  <c r="AP114" i="54" s="1"/>
  <c r="AQ114" i="54" s="1"/>
  <c r="AJ114" i="54"/>
  <c r="AL110" i="54"/>
  <c r="AP110" i="54" s="1"/>
  <c r="AJ110" i="54"/>
  <c r="Z142" i="54"/>
  <c r="AE138" i="54"/>
  <c r="AF138" i="54" s="1"/>
  <c r="AB137" i="54"/>
  <c r="AE137" i="54" s="1"/>
  <c r="AF137" i="54" s="1"/>
  <c r="Z137" i="54"/>
  <c r="AE130" i="54"/>
  <c r="AF130" i="54" s="1"/>
  <c r="AB129" i="54"/>
  <c r="AE129" i="54" s="1"/>
  <c r="AF129" i="54" s="1"/>
  <c r="Z129" i="54"/>
  <c r="AE120" i="54"/>
  <c r="AF120" i="54" s="1"/>
  <c r="AB119" i="54"/>
  <c r="AE119" i="54" s="1"/>
  <c r="AF119" i="54" s="1"/>
  <c r="Z119" i="54"/>
  <c r="Z111" i="54"/>
  <c r="H34" i="54"/>
  <c r="I34" i="54"/>
  <c r="L34" i="54"/>
  <c r="H30" i="54"/>
  <c r="H35" i="54" s="1"/>
  <c r="I30" i="54"/>
  <c r="L30" i="54"/>
  <c r="AP134" i="55"/>
  <c r="AQ134" i="55" s="1"/>
  <c r="AP128" i="55"/>
  <c r="AQ128" i="55" s="1"/>
  <c r="AP124" i="55"/>
  <c r="AQ124" i="55" s="1"/>
  <c r="AP120" i="55"/>
  <c r="AQ120" i="55" s="1"/>
  <c r="AP114" i="55"/>
  <c r="AQ114" i="55" s="1"/>
  <c r="AP110" i="55"/>
  <c r="AE143" i="55"/>
  <c r="AF143" i="55" s="1"/>
  <c r="AE137" i="55"/>
  <c r="AF137" i="55" s="1"/>
  <c r="AE133" i="55"/>
  <c r="AF133" i="55" s="1"/>
  <c r="Z111" i="55"/>
  <c r="C99" i="55"/>
  <c r="H99" i="55" s="1"/>
  <c r="C87" i="55"/>
  <c r="F87" i="55" s="1"/>
  <c r="H87" i="55" s="1"/>
  <c r="M46" i="55"/>
  <c r="C95" i="55"/>
  <c r="H95" i="55" s="1"/>
  <c r="C83" i="55"/>
  <c r="M42" i="55"/>
  <c r="L47" i="55"/>
  <c r="H47" i="55"/>
  <c r="D47" i="55"/>
  <c r="J47" i="55"/>
  <c r="F47" i="55"/>
  <c r="D94" i="55"/>
  <c r="H94" i="55" s="1"/>
  <c r="D82" i="55"/>
  <c r="S189" i="51"/>
  <c r="S193" i="51" s="1"/>
  <c r="S194" i="51" s="1"/>
  <c r="E198" i="51" s="1"/>
  <c r="H198" i="51" s="1"/>
  <c r="H22" i="58"/>
  <c r="D156" i="58" s="1"/>
  <c r="E167" i="52"/>
  <c r="F29" i="6" s="1"/>
  <c r="Z115" i="55"/>
  <c r="AP137" i="55"/>
  <c r="AQ137" i="55" s="1"/>
  <c r="AP133" i="55"/>
  <c r="AQ133" i="55" s="1"/>
  <c r="AP127" i="55"/>
  <c r="AQ127" i="55" s="1"/>
  <c r="AP123" i="55"/>
  <c r="AQ123" i="55" s="1"/>
  <c r="AP119" i="55"/>
  <c r="AQ119" i="55" s="1"/>
  <c r="AP113" i="55"/>
  <c r="AQ113" i="55" s="1"/>
  <c r="AE141" i="55"/>
  <c r="AF141" i="55" s="1"/>
  <c r="AE131" i="55"/>
  <c r="AF131" i="55" s="1"/>
  <c r="AE120" i="55"/>
  <c r="AF120" i="55" s="1"/>
  <c r="H75" i="58"/>
  <c r="H35" i="58"/>
  <c r="L35" i="16"/>
  <c r="F86" i="55"/>
  <c r="H86" i="55" s="1"/>
  <c r="F82" i="55"/>
  <c r="H82" i="55" s="1"/>
  <c r="H88" i="55" s="1"/>
  <c r="AP135" i="55"/>
  <c r="AQ135" i="55" s="1"/>
  <c r="AP129" i="55"/>
  <c r="AQ129" i="55" s="1"/>
  <c r="AP125" i="55"/>
  <c r="AQ125" i="55" s="1"/>
  <c r="AP121" i="55"/>
  <c r="AQ121" i="55" s="1"/>
  <c r="AP115" i="55"/>
  <c r="AQ115" i="55" s="1"/>
  <c r="AP111" i="55"/>
  <c r="AQ111" i="55" s="1"/>
  <c r="AE145" i="55"/>
  <c r="AF145" i="55" s="1"/>
  <c r="AE135" i="55"/>
  <c r="AF135" i="55" s="1"/>
  <c r="AE124" i="55"/>
  <c r="AF124" i="55" s="1"/>
  <c r="AE116" i="55"/>
  <c r="AF116" i="55" s="1"/>
  <c r="H22" i="55"/>
  <c r="D156" i="55" s="1"/>
  <c r="S138" i="54"/>
  <c r="D69" i="55"/>
  <c r="D75" i="55" s="1"/>
  <c r="L60" i="55"/>
  <c r="D155" i="55" s="1"/>
  <c r="E82" i="57"/>
  <c r="F82" i="57" s="1"/>
  <c r="H82" i="57" s="1"/>
  <c r="H16" i="57"/>
  <c r="D69" i="56"/>
  <c r="D75" i="56" s="1"/>
  <c r="L60" i="56"/>
  <c r="D155" i="56" s="1"/>
  <c r="E82" i="16"/>
  <c r="F82" i="16" s="1"/>
  <c r="H82" i="16" s="1"/>
  <c r="H16" i="16"/>
  <c r="S138" i="59"/>
  <c r="G94" i="52"/>
  <c r="H94" i="52" s="1"/>
  <c r="H75" i="57"/>
  <c r="D69" i="57"/>
  <c r="D75" i="57" s="1"/>
  <c r="L60" i="57"/>
  <c r="D155" i="57" s="1"/>
  <c r="E82" i="56"/>
  <c r="F82" i="56" s="1"/>
  <c r="H82" i="56" s="1"/>
  <c r="H16" i="56"/>
  <c r="H22" i="56" s="1"/>
  <c r="D156" i="56" s="1"/>
  <c r="H35" i="16"/>
  <c r="E82" i="59"/>
  <c r="F82" i="59" s="1"/>
  <c r="H82" i="59" s="1"/>
  <c r="H16" i="59"/>
  <c r="H22" i="59" s="1"/>
  <c r="D156" i="59" s="1"/>
  <c r="H35" i="57"/>
  <c r="H75" i="16"/>
  <c r="D69" i="16"/>
  <c r="D75" i="16" s="1"/>
  <c r="L60" i="16"/>
  <c r="D155" i="16" s="1"/>
  <c r="D69" i="50"/>
  <c r="D75" i="50" s="1"/>
  <c r="L60" i="50"/>
  <c r="D155" i="50" s="1"/>
  <c r="H75" i="55"/>
  <c r="S138" i="56"/>
  <c r="S138" i="16"/>
  <c r="H75" i="50"/>
  <c r="L75" i="50"/>
  <c r="D158" i="50" s="1"/>
  <c r="S138" i="57"/>
  <c r="H29" i="59"/>
  <c r="L29" i="59"/>
  <c r="L75" i="54"/>
  <c r="D158" i="54" s="1"/>
  <c r="G94" i="50"/>
  <c r="H94" i="50" s="1"/>
  <c r="M47" i="50"/>
  <c r="D159" i="50" s="1"/>
  <c r="L75" i="55"/>
  <c r="D158" i="55" s="1"/>
  <c r="H35" i="50"/>
  <c r="H75" i="53"/>
  <c r="L75" i="53"/>
  <c r="D158" i="53" s="1"/>
  <c r="H75" i="54"/>
  <c r="M41" i="55"/>
  <c r="C82" i="55"/>
  <c r="C94" i="55"/>
  <c r="M41" i="54"/>
  <c r="M47" i="54" s="1"/>
  <c r="D159" i="54" s="1"/>
  <c r="C82" i="54"/>
  <c r="F82" i="54" s="1"/>
  <c r="H82" i="54" s="1"/>
  <c r="L29" i="55"/>
  <c r="L35" i="55" s="1"/>
  <c r="L54" i="52"/>
  <c r="M41" i="53"/>
  <c r="M47" i="53" s="1"/>
  <c r="D159" i="53" s="1"/>
  <c r="C82" i="53"/>
  <c r="F82" i="53" s="1"/>
  <c r="H82" i="53" s="1"/>
  <c r="H35" i="55"/>
  <c r="FY1" i="8"/>
  <c r="CL1" i="8"/>
  <c r="Z1" i="8"/>
  <c r="FI1" i="7"/>
  <c r="CA1" i="7"/>
  <c r="O1" i="7"/>
  <c r="IV1" i="9"/>
  <c r="EY1" i="9"/>
  <c r="BX1" i="9"/>
  <c r="L1" i="9"/>
  <c r="DG1" i="8"/>
  <c r="X1" i="8"/>
  <c r="DW1" i="7"/>
  <c r="AJ1" i="7"/>
  <c r="IS1" i="9"/>
  <c r="DP1" i="9"/>
  <c r="AB1" i="9"/>
  <c r="EC1" i="8"/>
  <c r="AO1" i="8"/>
  <c r="ET1" i="7"/>
  <c r="AY1" i="7"/>
  <c r="T2" i="9"/>
  <c r="DT1" i="8"/>
  <c r="BD1" i="8"/>
  <c r="HE1" i="7"/>
  <c r="DE1" i="7"/>
  <c r="AS1" i="7"/>
  <c r="AR2" i="9"/>
  <c r="GQ1" i="9"/>
  <c r="CZ1" i="9"/>
  <c r="AN1" i="9"/>
  <c r="FN1" i="8"/>
  <c r="BK1" i="8"/>
  <c r="GE1" i="7"/>
  <c r="BV1" i="7"/>
  <c r="BC2" i="9"/>
  <c r="FU1" i="9"/>
  <c r="BQ1" i="9"/>
  <c r="GJ1" i="8"/>
  <c r="BZ1" i="8"/>
  <c r="HG1" i="7"/>
  <c r="CJ1" i="7"/>
  <c r="C1" i="7"/>
  <c r="GL1" i="8"/>
  <c r="CV1" i="8"/>
  <c r="AJ1" i="8"/>
  <c r="FU1" i="7"/>
  <c r="CK1" i="7"/>
  <c r="Y1" i="7"/>
  <c r="M2" i="9"/>
  <c r="FL1" i="9"/>
  <c r="CF1" i="9"/>
  <c r="Q1" i="9"/>
  <c r="DX1" i="8"/>
  <c r="AI1" i="8"/>
  <c r="EM1" i="7"/>
  <c r="AU1" i="7"/>
  <c r="O2" i="9"/>
  <c r="EE1" i="9"/>
  <c r="AM1" i="9"/>
  <c r="EU1" i="8"/>
  <c r="AY1" i="8"/>
  <c r="FK1" i="7"/>
  <c r="BJ1" i="7"/>
  <c r="AK2" i="9"/>
  <c r="FC1" i="9"/>
  <c r="BA1" i="9"/>
  <c r="FP1" i="8"/>
  <c r="BB1" i="8"/>
  <c r="EQ1" i="7"/>
  <c r="AF1" i="7"/>
  <c r="FW1" i="9"/>
  <c r="AL1" i="9"/>
  <c r="DK1" i="8"/>
  <c r="AC1" i="8"/>
  <c r="AF1" i="8"/>
  <c r="G2" i="9"/>
  <c r="DP1" i="8"/>
  <c r="E2" i="9"/>
  <c r="AP1" i="8"/>
  <c r="HI1" i="9"/>
  <c r="BO1" i="9"/>
  <c r="EP1" i="8"/>
  <c r="HK1" i="7"/>
  <c r="AQ1" i="7"/>
  <c r="EP1" i="9"/>
  <c r="FQ1" i="8"/>
  <c r="AK1" i="8"/>
  <c r="DS1" i="7"/>
  <c r="AH1" i="7"/>
  <c r="IG1" i="9"/>
  <c r="DE1" i="9"/>
  <c r="W1" i="9"/>
  <c r="H2" i="9"/>
  <c r="IR1" i="9"/>
  <c r="DY1" i="8"/>
  <c r="CX1" i="7"/>
  <c r="GO1" i="9"/>
  <c r="FI1" i="8"/>
  <c r="FZ1" i="7"/>
  <c r="AV1" i="7"/>
  <c r="HX1" i="9"/>
  <c r="BG1" i="9"/>
  <c r="IM1" i="9"/>
  <c r="BP2" i="9"/>
  <c r="AH1" i="9"/>
  <c r="HD1" i="8"/>
  <c r="EO1" i="7"/>
  <c r="EG1" i="9"/>
  <c r="J1" i="8"/>
  <c r="CS1" i="9"/>
  <c r="DU1" i="7"/>
  <c r="DM1" i="9"/>
  <c r="EY1" i="7"/>
  <c r="HO1" i="7"/>
  <c r="CW1" i="9"/>
  <c r="D1" i="9"/>
  <c r="BC1" i="9"/>
  <c r="EG1" i="8"/>
  <c r="AX1" i="7"/>
  <c r="AT1" i="9"/>
  <c r="CF1" i="7"/>
  <c r="HA1" i="8"/>
  <c r="N1" i="7"/>
  <c r="DF1" i="9"/>
  <c r="HM1" i="8"/>
  <c r="AQ1" i="8"/>
  <c r="EY1" i="8"/>
  <c r="BX1" i="8"/>
  <c r="L1" i="8"/>
  <c r="EI1" i="7"/>
  <c r="BM1" i="7"/>
  <c r="BW2" i="9"/>
  <c r="HW1" i="9"/>
  <c r="EA1" i="9"/>
  <c r="BH1" i="9"/>
  <c r="HB1" i="8"/>
  <c r="CH1" i="8"/>
  <c r="E1" i="8"/>
  <c r="CV1" i="7"/>
  <c r="M1" i="7"/>
  <c r="HL1" i="9"/>
  <c r="CQ1" i="9"/>
  <c r="J1" i="9"/>
  <c r="CY1" i="8"/>
  <c r="S1" i="8"/>
  <c r="DM1" i="7"/>
  <c r="AD1" i="7"/>
  <c r="GQ1" i="8"/>
  <c r="CZ1" i="8"/>
  <c r="AN1" i="8"/>
  <c r="GA1" i="7"/>
  <c r="CO1" i="7"/>
  <c r="AC1" i="7"/>
  <c r="S2" i="9"/>
  <c r="FS1" i="9"/>
  <c r="CJ1" i="9"/>
  <c r="T1" i="9"/>
  <c r="EE1" i="8"/>
  <c r="AM1" i="8"/>
  <c r="EW1" i="7"/>
  <c r="AZ1" i="7"/>
  <c r="V2" i="9"/>
  <c r="EN1" i="9"/>
  <c r="AU1" i="9"/>
  <c r="FC1" i="8"/>
  <c r="BA1" i="8"/>
  <c r="FS1" i="7"/>
  <c r="BO1" i="7"/>
  <c r="AT2" i="9"/>
  <c r="FL1" i="8"/>
  <c r="CF1" i="8"/>
  <c r="Q1" i="8"/>
  <c r="EU1" i="7"/>
  <c r="BU1" i="7"/>
  <c r="F1" i="7"/>
  <c r="II1" i="9"/>
  <c r="EM1" i="9"/>
  <c r="BL1" i="9"/>
  <c r="B1" i="9"/>
  <c r="CS1" i="8"/>
  <c r="M1" i="8"/>
  <c r="DG1" i="7"/>
  <c r="X1" i="7"/>
  <c r="IB1" i="9"/>
  <c r="DB1" i="9"/>
  <c r="U1" i="9"/>
  <c r="DM1" i="8"/>
  <c r="AD1" i="8"/>
  <c r="ED1" i="7"/>
  <c r="AN1" i="7"/>
  <c r="D2" i="9"/>
  <c r="DV1" i="9"/>
  <c r="AE1" i="9"/>
  <c r="EI1" i="8"/>
  <c r="AA1" i="8"/>
  <c r="DC1" i="7"/>
  <c r="D1" i="7"/>
  <c r="DY1" i="9"/>
  <c r="HH1" i="8"/>
  <c r="CO1" i="8"/>
  <c r="EA1" i="8"/>
  <c r="BH1" i="8"/>
  <c r="HM1" i="7"/>
  <c r="DI1" i="7"/>
  <c r="AW1" i="7"/>
  <c r="AY2" i="9"/>
  <c r="GX1" i="9"/>
  <c r="DA1" i="9"/>
  <c r="AR1" i="9"/>
  <c r="FU1" i="8"/>
  <c r="BQ1" i="8"/>
  <c r="GM1" i="7"/>
  <c r="BW1" i="7"/>
  <c r="BL2" i="9"/>
  <c r="GD1" i="9"/>
  <c r="BV1" i="9"/>
  <c r="GS1" i="8"/>
  <c r="CC1" i="8"/>
  <c r="HQ1" i="7"/>
  <c r="CN1" i="7"/>
  <c r="H1" i="7"/>
  <c r="FS1" i="8"/>
  <c r="CJ1" i="8"/>
  <c r="T1" i="8"/>
  <c r="FB1" i="7"/>
  <c r="BY1" i="7"/>
  <c r="I1" i="7"/>
  <c r="IP1" i="9"/>
  <c r="ET1" i="9"/>
  <c r="BR1" i="9"/>
  <c r="H1" i="9"/>
  <c r="DB1" i="8"/>
  <c r="U1" i="8"/>
  <c r="DN1" i="7"/>
  <c r="AB1" i="7"/>
  <c r="IK1" i="9"/>
  <c r="DG1" i="9"/>
  <c r="X1" i="9"/>
  <c r="DV1" i="8"/>
  <c r="AE1" i="8"/>
  <c r="EL1" i="7"/>
  <c r="AP1" i="7"/>
  <c r="K2" i="9"/>
  <c r="EM1" i="8"/>
  <c r="BL1" i="8"/>
  <c r="B1" i="8"/>
  <c r="DV1" i="7"/>
  <c r="BA1" i="7"/>
  <c r="BK2" i="9"/>
  <c r="HK1" i="9"/>
  <c r="DN1" i="9"/>
  <c r="AZ1" i="9"/>
  <c r="GM1" i="8"/>
  <c r="BW1" i="8"/>
  <c r="HI1" i="7"/>
  <c r="CH1" i="7"/>
  <c r="B1" i="7"/>
  <c r="GU1" i="9"/>
  <c r="CG1" i="9"/>
  <c r="HI1" i="8"/>
  <c r="CN1" i="8"/>
  <c r="F1" i="8"/>
  <c r="CZ1" i="7"/>
  <c r="S1" i="7"/>
  <c r="HS1" i="9"/>
  <c r="CU1" i="9"/>
  <c r="N1" i="9"/>
  <c r="DC1" i="8"/>
  <c r="HW1" i="7"/>
  <c r="CE1" i="7"/>
  <c r="AO2" i="9"/>
  <c r="CM1" i="9"/>
  <c r="GA1" i="8"/>
  <c r="BS1" i="8"/>
  <c r="GE1" i="8"/>
  <c r="CG1" i="7"/>
  <c r="GX1" i="8"/>
  <c r="CP1" i="7"/>
  <c r="CL1" i="9"/>
  <c r="FE1" i="7"/>
  <c r="AX1" i="9"/>
  <c r="BR1" i="7"/>
  <c r="H1" i="8"/>
  <c r="HQ1" i="9"/>
  <c r="CG1" i="8"/>
  <c r="HB1" i="9"/>
  <c r="N1" i="8"/>
  <c r="DN1" i="8"/>
  <c r="AO1" i="7"/>
  <c r="AJ1" i="9"/>
  <c r="BL1" i="7"/>
  <c r="GB1" i="8"/>
  <c r="BS2" i="9"/>
  <c r="CA1" i="8"/>
  <c r="BM1" i="9"/>
  <c r="CR1" i="8"/>
  <c r="CB1" i="9"/>
  <c r="AM1" i="7"/>
  <c r="FC1" i="7"/>
  <c r="EC1" i="9"/>
  <c r="GO1" i="8"/>
  <c r="FG1" i="7"/>
  <c r="AG2" i="9"/>
  <c r="O1" i="9"/>
  <c r="I1" i="8"/>
  <c r="BX1" i="7"/>
  <c r="R2" i="9"/>
  <c r="CI1" i="9"/>
  <c r="V1" i="8"/>
  <c r="K1" i="9"/>
  <c r="CP1" i="8"/>
  <c r="AL1" i="7"/>
  <c r="GZ1" i="8"/>
  <c r="ES1" i="7"/>
  <c r="AP2" i="9"/>
  <c r="CD1" i="9"/>
  <c r="CE1" i="9"/>
  <c r="GH1" i="9"/>
  <c r="HM1" i="9"/>
  <c r="BQ1" i="7"/>
  <c r="HL1" i="8"/>
  <c r="HT1" i="9"/>
  <c r="AE1" i="7"/>
  <c r="C1" i="9"/>
  <c r="CI1" i="8"/>
  <c r="R1" i="9"/>
  <c r="AI2" i="9"/>
  <c r="DD1" i="8"/>
  <c r="BE2" i="9"/>
  <c r="BV1" i="8"/>
  <c r="BW1" i="9"/>
  <c r="IH1" i="9"/>
  <c r="AY1" i="9"/>
  <c r="CE1" i="8"/>
  <c r="CR1" i="7"/>
  <c r="IT1" i="9"/>
  <c r="AG1" i="9"/>
  <c r="CD1" i="8"/>
  <c r="FR1" i="7"/>
  <c r="B2" i="9"/>
  <c r="BE1" i="9"/>
  <c r="AX1" i="8"/>
  <c r="AP1" i="9"/>
  <c r="CP1" i="9"/>
  <c r="R1" i="7"/>
  <c r="GW1" i="9"/>
  <c r="CD1" i="7"/>
  <c r="DI1" i="9"/>
  <c r="BO1" i="8"/>
  <c r="AK1" i="7"/>
  <c r="CR1" i="9"/>
  <c r="EL1" i="9"/>
  <c r="CW1" i="8"/>
  <c r="BU1" i="9"/>
  <c r="AI1" i="7"/>
  <c r="BJ2" i="9"/>
  <c r="CM1" i="7"/>
  <c r="FJ1" i="7"/>
  <c r="AN2" i="9"/>
  <c r="IO1" i="9"/>
  <c r="HA1" i="7"/>
  <c r="HD1" i="9"/>
  <c r="CK1" i="8"/>
  <c r="GS1" i="9"/>
  <c r="K1" i="8"/>
  <c r="BP1" i="7"/>
  <c r="GP1" i="8"/>
  <c r="BC1" i="8"/>
  <c r="DA1" i="7"/>
  <c r="AT1" i="8"/>
  <c r="FE1" i="9"/>
  <c r="EJ1" i="8"/>
  <c r="HH1" i="9"/>
  <c r="BH2" i="9"/>
  <c r="ER1" i="9"/>
  <c r="EX1" i="8"/>
  <c r="FM1" i="7"/>
  <c r="S1" i="9"/>
  <c r="BB1" i="7"/>
  <c r="AF1" i="9"/>
  <c r="CY1" i="9"/>
  <c r="BH1" i="7"/>
  <c r="HZ1" i="9"/>
  <c r="AA1" i="9"/>
  <c r="BF1" i="9"/>
  <c r="AS1" i="8"/>
  <c r="BK1" i="7"/>
  <c r="V1" i="9"/>
  <c r="D1" i="8"/>
  <c r="FY1" i="9"/>
  <c r="EW1" i="9"/>
  <c r="BR1" i="8"/>
  <c r="GU1" i="8"/>
  <c r="HK1" i="8"/>
  <c r="CV1" i="9"/>
  <c r="BK1" i="9"/>
  <c r="CC1" i="7"/>
  <c r="G1" i="8"/>
  <c r="EL1" i="8"/>
  <c r="FT1" i="9"/>
  <c r="K1" i="7"/>
  <c r="AW1" i="9"/>
  <c r="AZ2" i="9"/>
  <c r="EJ1" i="9"/>
  <c r="GF1" i="8"/>
  <c r="BT1" i="7"/>
  <c r="Z1" i="7"/>
  <c r="HO1" i="9"/>
  <c r="P1" i="8"/>
  <c r="Q1" i="7"/>
  <c r="BJ1" i="9"/>
  <c r="CI1" i="7"/>
  <c r="DO1" i="7"/>
  <c r="CU1" i="7"/>
  <c r="DQ1" i="8"/>
  <c r="BG2" i="9"/>
  <c r="BP1" i="9"/>
  <c r="W1" i="7"/>
  <c r="GB1" i="9"/>
  <c r="P1" i="7"/>
  <c r="GS1" i="7"/>
  <c r="AW1" i="8"/>
  <c r="GH1" i="8"/>
  <c r="BZ1" i="7"/>
  <c r="EW1" i="8"/>
  <c r="FT1" i="8"/>
  <c r="BY1" i="8"/>
  <c r="EA1" i="7"/>
  <c r="DA1" i="8"/>
  <c r="AG1" i="7"/>
  <c r="Z1" i="9"/>
  <c r="BF1" i="7"/>
  <c r="FJ1" i="8"/>
  <c r="BA2" i="9"/>
  <c r="EC1" i="7"/>
  <c r="DT1" i="9"/>
  <c r="HS1" i="7"/>
  <c r="CH1" i="9"/>
  <c r="DF1" i="7"/>
  <c r="AZ1" i="8"/>
  <c r="AL2" i="9"/>
  <c r="FE1" i="8"/>
  <c r="AV2" i="9"/>
  <c r="BU1" i="8"/>
  <c r="GJ1" i="9"/>
  <c r="FY1" i="7"/>
  <c r="ER1" i="8"/>
  <c r="FO1" i="7"/>
  <c r="P1" i="9"/>
  <c r="DX1" i="9"/>
  <c r="BD1" i="7"/>
  <c r="CN1" i="9"/>
  <c r="CX1" i="8"/>
  <c r="DD1" i="7"/>
  <c r="HF1" i="9"/>
  <c r="EB1" i="8"/>
  <c r="GI1" i="7"/>
  <c r="BC1" i="7"/>
  <c r="GZ1" i="9"/>
  <c r="BN1" i="9"/>
  <c r="AT1" i="7"/>
  <c r="CK1" i="9"/>
  <c r="O1" i="8"/>
  <c r="P2" i="9"/>
  <c r="DR1" i="8"/>
  <c r="DK1" i="7"/>
  <c r="I2" i="9"/>
  <c r="AK1" i="9"/>
  <c r="EK1" i="7"/>
  <c r="CT1" i="9"/>
  <c r="FF1" i="8"/>
  <c r="E1" i="7"/>
  <c r="CQ1" i="8"/>
  <c r="M1" i="9"/>
  <c r="HA1" i="9"/>
  <c r="BE1" i="8"/>
  <c r="CL1" i="7"/>
  <c r="DR1" i="9"/>
  <c r="BI1" i="8"/>
  <c r="GY1" i="7"/>
  <c r="Y1" i="9"/>
  <c r="FP1" i="9"/>
  <c r="FA1" i="9"/>
  <c r="DI1" i="8"/>
  <c r="DY1" i="7"/>
  <c r="AC1" i="9"/>
  <c r="GA1" i="9"/>
  <c r="HV1" i="9"/>
  <c r="EX1" i="9"/>
  <c r="AV1" i="9"/>
  <c r="AA2" i="9"/>
  <c r="AU1" i="8"/>
  <c r="BR2" i="9"/>
  <c r="CU1" i="8"/>
  <c r="FW1" i="7"/>
  <c r="IE1" i="9"/>
  <c r="EE1" i="7"/>
  <c r="AG1" i="8"/>
  <c r="BN1" i="8"/>
  <c r="FW1" i="8"/>
  <c r="AH1" i="8"/>
  <c r="AA1" i="7"/>
  <c r="BI1" i="9"/>
  <c r="BT1" i="9"/>
  <c r="GD1" i="8"/>
  <c r="CC1" i="9"/>
  <c r="HC1" i="7"/>
  <c r="GE1" i="9"/>
  <c r="G1" i="9"/>
  <c r="AE2" i="9"/>
  <c r="AW2" i="9"/>
  <c r="AL1" i="8"/>
  <c r="AR1" i="8"/>
  <c r="Z2" i="9"/>
  <c r="EN1" i="8"/>
  <c r="AD2" i="9"/>
  <c r="BJ1" i="8"/>
  <c r="ET1" i="8"/>
  <c r="BG1" i="7"/>
  <c r="BD1" i="9"/>
  <c r="CQ1" i="7"/>
  <c r="E1" i="9"/>
  <c r="T1" i="7"/>
  <c r="GW1" i="7"/>
  <c r="GL1" i="9"/>
  <c r="BF1" i="8"/>
  <c r="FN1" i="9"/>
  <c r="GU1" i="7"/>
  <c r="BZ1" i="9"/>
  <c r="BE1" i="7"/>
  <c r="AV1" i="8"/>
  <c r="U1" i="7"/>
  <c r="AB1" i="8"/>
  <c r="AI1" i="9"/>
  <c r="AC2" i="9"/>
  <c r="AO1" i="9"/>
  <c r="BP1" i="8"/>
  <c r="CB1" i="7"/>
  <c r="CA1" i="9"/>
  <c r="CT1" i="8"/>
  <c r="FA1" i="7"/>
  <c r="L1" i="7"/>
  <c r="FQ1" i="9"/>
  <c r="AS1" i="9"/>
  <c r="GF1" i="9"/>
  <c r="AD1" i="9"/>
  <c r="GQ1" i="7"/>
  <c r="DQ1" i="9"/>
  <c r="BG1" i="8"/>
  <c r="BS1" i="7"/>
  <c r="FI1" i="9"/>
  <c r="CM1" i="8"/>
  <c r="AR1" i="7"/>
  <c r="BM1" i="8"/>
  <c r="CB1" i="8"/>
  <c r="ID1" i="9"/>
  <c r="DB1" i="7"/>
  <c r="DF1" i="8"/>
  <c r="FJ1" i="9"/>
  <c r="BV2" i="9"/>
  <c r="G1" i="7"/>
  <c r="FH1" i="9"/>
  <c r="DQ1" i="7"/>
  <c r="HU1" i="7"/>
  <c r="DD1" i="9"/>
  <c r="BU2" i="9"/>
  <c r="C1" i="8"/>
  <c r="EU1" i="9"/>
  <c r="FH1" i="8"/>
  <c r="GG1" i="7"/>
  <c r="V1" i="7"/>
  <c r="DC1" i="9"/>
  <c r="FA1" i="8"/>
  <c r="W1" i="8"/>
  <c r="BN1" i="7"/>
  <c r="BY1" i="9"/>
  <c r="GO1" i="7"/>
  <c r="GK1" i="7"/>
  <c r="FQ1" i="7"/>
  <c r="R1" i="8"/>
  <c r="CO1" i="9"/>
  <c r="BB1" i="9"/>
  <c r="BS1" i="9"/>
  <c r="X2" i="9"/>
  <c r="BT1" i="8"/>
  <c r="GW1" i="8"/>
  <c r="GH1" i="7"/>
  <c r="GC1" i="7"/>
  <c r="J1" i="7"/>
  <c r="CY1" i="7"/>
  <c r="HF1" i="8"/>
  <c r="FF1" i="9"/>
  <c r="F1" i="9"/>
  <c r="CT1" i="7"/>
  <c r="CX1" i="9"/>
  <c r="AQ1" i="9"/>
  <c r="EB1" i="9"/>
  <c r="BN2" i="9"/>
  <c r="Y1" i="8"/>
  <c r="GP1" i="9"/>
  <c r="EI1" i="9"/>
  <c r="GM1" i="9"/>
  <c r="EG1" i="7"/>
  <c r="DE1" i="8"/>
  <c r="I1" i="9"/>
  <c r="CW1" i="7"/>
  <c r="CS1" i="7"/>
  <c r="DK1" i="9"/>
  <c r="BI1" i="7"/>
  <c r="D157" i="55" l="1"/>
  <c r="D157" i="16"/>
  <c r="AJ123" i="52"/>
  <c r="H35" i="56"/>
  <c r="T16" i="57"/>
  <c r="J86" i="4"/>
  <c r="J87" i="4" s="1"/>
  <c r="J373" i="3" s="1"/>
  <c r="L35" i="58"/>
  <c r="O81" i="4"/>
  <c r="J35" i="4"/>
  <c r="J361" i="3"/>
  <c r="H98" i="59"/>
  <c r="H97" i="50"/>
  <c r="J97" i="50" s="1"/>
  <c r="V18" i="54"/>
  <c r="V21" i="54"/>
  <c r="X16" i="55"/>
  <c r="X23" i="55"/>
  <c r="D160" i="55"/>
  <c r="V16" i="55"/>
  <c r="V18" i="55" s="1"/>
  <c r="V21" i="55" s="1"/>
  <c r="V23" i="55"/>
  <c r="D160" i="50"/>
  <c r="L35" i="52"/>
  <c r="G36" i="4"/>
  <c r="J360" i="3"/>
  <c r="S23" i="16"/>
  <c r="S16" i="16"/>
  <c r="AJ114" i="52"/>
  <c r="M47" i="56"/>
  <c r="D159" i="56" s="1"/>
  <c r="V18" i="59"/>
  <c r="V21" i="59"/>
  <c r="H86" i="50"/>
  <c r="H96" i="58"/>
  <c r="H98" i="58"/>
  <c r="I94" i="56"/>
  <c r="M79" i="4"/>
  <c r="M86" i="4" s="1"/>
  <c r="M87" i="4" s="1"/>
  <c r="J376" i="3" s="1"/>
  <c r="M75" i="4"/>
  <c r="M47" i="55"/>
  <c r="D159" i="55" s="1"/>
  <c r="E159" i="55" s="1"/>
  <c r="M47" i="59"/>
  <c r="D159" i="59" s="1"/>
  <c r="H84" i="57"/>
  <c r="E50" i="51"/>
  <c r="D82" i="4"/>
  <c r="H85" i="58"/>
  <c r="T23" i="53"/>
  <c r="T16" i="53"/>
  <c r="T18" i="53" s="1"/>
  <c r="T21" i="53" s="1"/>
  <c r="H85" i="54"/>
  <c r="H95" i="59"/>
  <c r="H86" i="53"/>
  <c r="M47" i="52"/>
  <c r="D159" i="52" s="1"/>
  <c r="L35" i="54"/>
  <c r="D157" i="54" s="1"/>
  <c r="H22" i="54"/>
  <c r="D156" i="54" s="1"/>
  <c r="J358" i="3"/>
  <c r="V18" i="53"/>
  <c r="V21" i="53"/>
  <c r="D157" i="50"/>
  <c r="F82" i="50"/>
  <c r="H82" i="50" s="1"/>
  <c r="E159" i="52"/>
  <c r="I159" i="52"/>
  <c r="J99" i="55"/>
  <c r="I99" i="55"/>
  <c r="J97" i="55"/>
  <c r="I97" i="55"/>
  <c r="I96" i="52"/>
  <c r="J96" i="52"/>
  <c r="J97" i="58"/>
  <c r="I97" i="58"/>
  <c r="H88" i="54"/>
  <c r="J95" i="55"/>
  <c r="I95" i="55"/>
  <c r="E156" i="54"/>
  <c r="I156" i="54"/>
  <c r="H88" i="58"/>
  <c r="I94" i="57"/>
  <c r="H100" i="57"/>
  <c r="J94" i="57"/>
  <c r="D157" i="56"/>
  <c r="E159" i="53"/>
  <c r="I159" i="53"/>
  <c r="I158" i="54"/>
  <c r="E158" i="54"/>
  <c r="S142" i="16"/>
  <c r="S143" i="16" s="1"/>
  <c r="E147" i="16" s="1"/>
  <c r="H147" i="16" s="1"/>
  <c r="T138" i="16"/>
  <c r="T142" i="16" s="1"/>
  <c r="H88" i="16"/>
  <c r="E156" i="53"/>
  <c r="I156" i="53"/>
  <c r="E156" i="58"/>
  <c r="I156" i="58"/>
  <c r="AQ110" i="55"/>
  <c r="AQ138" i="55" s="1"/>
  <c r="AQ142" i="55" s="1"/>
  <c r="AP138" i="55"/>
  <c r="AP142" i="55" s="1"/>
  <c r="AP143" i="55" s="1"/>
  <c r="AB147" i="55" s="1"/>
  <c r="AE147" i="55" s="1"/>
  <c r="AF147" i="55" s="1"/>
  <c r="J96" i="53"/>
  <c r="I96" i="53"/>
  <c r="J99" i="54"/>
  <c r="I99" i="54"/>
  <c r="V21" i="52"/>
  <c r="V18" i="52"/>
  <c r="E159" i="59"/>
  <c r="I159" i="59"/>
  <c r="E158" i="56"/>
  <c r="I158" i="56"/>
  <c r="I165" i="52"/>
  <c r="D165" i="52"/>
  <c r="E165" i="52" s="1"/>
  <c r="I95" i="52"/>
  <c r="J95" i="52"/>
  <c r="S16" i="59"/>
  <c r="S23" i="59"/>
  <c r="J95" i="56"/>
  <c r="I95" i="56"/>
  <c r="AF111" i="57"/>
  <c r="AF148" i="57" s="1"/>
  <c r="I161" i="57" s="1"/>
  <c r="J161" i="57" s="1"/>
  <c r="K49" i="6" s="1"/>
  <c r="AQ110" i="57"/>
  <c r="AQ138" i="57" s="1"/>
  <c r="AQ142" i="57" s="1"/>
  <c r="AP138" i="57"/>
  <c r="AP142" i="57" s="1"/>
  <c r="AP143" i="57" s="1"/>
  <c r="AB147" i="57" s="1"/>
  <c r="AE147" i="57" s="1"/>
  <c r="AF147" i="57" s="1"/>
  <c r="AQ110" i="58"/>
  <c r="AQ138" i="58" s="1"/>
  <c r="AQ142" i="58" s="1"/>
  <c r="AP138" i="58"/>
  <c r="AP142" i="58" s="1"/>
  <c r="AP143" i="58" s="1"/>
  <c r="AB147" i="58" s="1"/>
  <c r="AE147" i="58" s="1"/>
  <c r="AF147" i="58" s="1"/>
  <c r="AF110" i="58"/>
  <c r="H83" i="54"/>
  <c r="O61" i="57"/>
  <c r="O62" i="57" s="1"/>
  <c r="S21" i="55"/>
  <c r="S24" i="55" s="1"/>
  <c r="S18" i="55"/>
  <c r="S23" i="55" s="1"/>
  <c r="I96" i="58"/>
  <c r="J96" i="58"/>
  <c r="D79" i="4"/>
  <c r="D75" i="4"/>
  <c r="J352" i="3" s="1"/>
  <c r="O61" i="56"/>
  <c r="O62" i="56" s="1"/>
  <c r="I98" i="58"/>
  <c r="J98" i="58"/>
  <c r="V23" i="57"/>
  <c r="V16" i="57"/>
  <c r="AF110" i="56"/>
  <c r="N75" i="4"/>
  <c r="J362" i="3" s="1"/>
  <c r="N79" i="4"/>
  <c r="N86" i="4" s="1"/>
  <c r="N87" i="4" s="1"/>
  <c r="J377" i="3" s="1"/>
  <c r="D27" i="51"/>
  <c r="D29" i="51" s="1"/>
  <c r="C29" i="51"/>
  <c r="F134" i="51" s="1"/>
  <c r="G134" i="51" s="1"/>
  <c r="AF111" i="50"/>
  <c r="I159" i="54"/>
  <c r="E159" i="54"/>
  <c r="I158" i="55"/>
  <c r="E158" i="55"/>
  <c r="S142" i="56"/>
  <c r="S143" i="56" s="1"/>
  <c r="E147" i="56" s="1"/>
  <c r="H147" i="56" s="1"/>
  <c r="T138" i="56"/>
  <c r="T142" i="56" s="1"/>
  <c r="H88" i="59"/>
  <c r="H100" i="52"/>
  <c r="I94" i="52"/>
  <c r="J94" i="52"/>
  <c r="I198" i="51"/>
  <c r="I199" i="51" s="1"/>
  <c r="D212" i="51" s="1"/>
  <c r="E212" i="51" s="1"/>
  <c r="H199" i="51"/>
  <c r="D160" i="58"/>
  <c r="X18" i="53"/>
  <c r="X21" i="53" s="1"/>
  <c r="J99" i="59"/>
  <c r="I99" i="59"/>
  <c r="J98" i="55"/>
  <c r="I98" i="55"/>
  <c r="J96" i="59"/>
  <c r="I96" i="59"/>
  <c r="AF111" i="16"/>
  <c r="I97" i="57"/>
  <c r="J97" i="57"/>
  <c r="I96" i="16"/>
  <c r="J96" i="16"/>
  <c r="I95" i="16"/>
  <c r="J95" i="16"/>
  <c r="W18" i="52"/>
  <c r="W21" i="52" s="1"/>
  <c r="I98" i="57"/>
  <c r="J98" i="57"/>
  <c r="S23" i="56"/>
  <c r="S16" i="56"/>
  <c r="U16" i="56"/>
  <c r="U23" i="56"/>
  <c r="E158" i="58"/>
  <c r="I158" i="58"/>
  <c r="E36" i="4"/>
  <c r="E69" i="4" s="1"/>
  <c r="AQ189" i="51"/>
  <c r="AQ193" i="51" s="1"/>
  <c r="G14" i="51"/>
  <c r="F12" i="51"/>
  <c r="B35" i="51" s="1"/>
  <c r="E79" i="4"/>
  <c r="E86" i="4" s="1"/>
  <c r="E87" i="4" s="1"/>
  <c r="J368" i="3" s="1"/>
  <c r="E75" i="4"/>
  <c r="J353" i="3" s="1"/>
  <c r="D84" i="4"/>
  <c r="Q84" i="4"/>
  <c r="H79" i="4"/>
  <c r="H86" i="4" s="1"/>
  <c r="H87" i="4" s="1"/>
  <c r="J371" i="3" s="1"/>
  <c r="AL118" i="50" s="1"/>
  <c r="AP118" i="50" s="1"/>
  <c r="AQ118" i="50" s="1"/>
  <c r="H75" i="4"/>
  <c r="J356" i="3" s="1"/>
  <c r="O118" i="50" s="1"/>
  <c r="S118" i="50" s="1"/>
  <c r="T118" i="50" s="1"/>
  <c r="E158" i="53"/>
  <c r="I158" i="53"/>
  <c r="I159" i="50"/>
  <c r="E159" i="50"/>
  <c r="H35" i="59"/>
  <c r="E155" i="16"/>
  <c r="I155" i="16"/>
  <c r="E157" i="16"/>
  <c r="I157" i="16"/>
  <c r="D160" i="57"/>
  <c r="S142" i="59"/>
  <c r="S143" i="59" s="1"/>
  <c r="E147" i="59" s="1"/>
  <c r="H147" i="59" s="1"/>
  <c r="T138" i="59"/>
  <c r="T142" i="59" s="1"/>
  <c r="D160" i="56"/>
  <c r="E155" i="55"/>
  <c r="I155" i="55"/>
  <c r="S142" i="54"/>
  <c r="S143" i="54" s="1"/>
  <c r="E147" i="54" s="1"/>
  <c r="H147" i="54" s="1"/>
  <c r="I147" i="54" s="1"/>
  <c r="T138" i="54"/>
  <c r="T142" i="54" s="1"/>
  <c r="J98" i="53"/>
  <c r="I98" i="53"/>
  <c r="I158" i="52"/>
  <c r="E158" i="52"/>
  <c r="S142" i="58"/>
  <c r="S143" i="58" s="1"/>
  <c r="E147" i="58" s="1"/>
  <c r="H147" i="58" s="1"/>
  <c r="T138" i="58"/>
  <c r="T142" i="58" s="1"/>
  <c r="J95" i="53"/>
  <c r="I95" i="53"/>
  <c r="E158" i="59"/>
  <c r="I158" i="59"/>
  <c r="W16" i="54"/>
  <c r="W23" i="54"/>
  <c r="H88" i="50"/>
  <c r="J97" i="59"/>
  <c r="I97" i="59"/>
  <c r="S142" i="55"/>
  <c r="S143" i="55" s="1"/>
  <c r="E147" i="55" s="1"/>
  <c r="H147" i="55" s="1"/>
  <c r="I147" i="55" s="1"/>
  <c r="T138" i="55"/>
  <c r="T142" i="55" s="1"/>
  <c r="AJ132" i="50"/>
  <c r="Z112" i="54"/>
  <c r="AJ110" i="52"/>
  <c r="Z112" i="53"/>
  <c r="AJ125" i="50"/>
  <c r="AJ111" i="50"/>
  <c r="Z112" i="55"/>
  <c r="S16" i="54"/>
  <c r="I156" i="52"/>
  <c r="E156" i="52"/>
  <c r="U18" i="52"/>
  <c r="U21" i="52" s="1"/>
  <c r="T23" i="50"/>
  <c r="T16" i="50"/>
  <c r="Z142" i="55"/>
  <c r="J97" i="54"/>
  <c r="I97" i="54"/>
  <c r="V23" i="50"/>
  <c r="V16" i="50"/>
  <c r="I98" i="16"/>
  <c r="J98" i="16"/>
  <c r="J96" i="56"/>
  <c r="I96" i="56"/>
  <c r="H99" i="56"/>
  <c r="E155" i="54"/>
  <c r="I155" i="54"/>
  <c r="I97" i="52"/>
  <c r="J97" i="52"/>
  <c r="O62" i="52"/>
  <c r="W16" i="56"/>
  <c r="W23" i="56"/>
  <c r="J96" i="54"/>
  <c r="I96" i="54"/>
  <c r="W18" i="50"/>
  <c r="W21" i="50" s="1"/>
  <c r="U18" i="16"/>
  <c r="U21" i="16"/>
  <c r="M47" i="58"/>
  <c r="D159" i="58" s="1"/>
  <c r="T23" i="58"/>
  <c r="T16" i="58"/>
  <c r="U18" i="50"/>
  <c r="U21" i="50" s="1"/>
  <c r="AP138" i="59"/>
  <c r="AP142" i="59" s="1"/>
  <c r="AP143" i="59" s="1"/>
  <c r="AB147" i="59" s="1"/>
  <c r="AE147" i="59" s="1"/>
  <c r="AF147" i="59" s="1"/>
  <c r="M22" i="6"/>
  <c r="J159" i="16"/>
  <c r="M47" i="6" s="1"/>
  <c r="T18" i="16"/>
  <c r="T21" i="16" s="1"/>
  <c r="I96" i="57"/>
  <c r="J96" i="57"/>
  <c r="E153" i="51"/>
  <c r="E150" i="51"/>
  <c r="J359" i="3"/>
  <c r="AP138" i="56"/>
  <c r="AP142" i="56" s="1"/>
  <c r="AP143" i="56" s="1"/>
  <c r="AB147" i="56" s="1"/>
  <c r="AE147" i="56" s="1"/>
  <c r="AF147" i="56" s="1"/>
  <c r="AP189" i="51"/>
  <c r="AP193" i="51" s="1"/>
  <c r="AP194" i="51" s="1"/>
  <c r="AB198" i="51" s="1"/>
  <c r="AE198" i="51" s="1"/>
  <c r="AF198" i="51" s="1"/>
  <c r="AF199" i="51" s="1"/>
  <c r="I212" i="51" s="1"/>
  <c r="J212" i="51" s="1"/>
  <c r="X18" i="16"/>
  <c r="X21" i="16" s="1"/>
  <c r="P79" i="4"/>
  <c r="P86" i="4" s="1"/>
  <c r="P87" i="4" s="1"/>
  <c r="J379" i="3" s="1"/>
  <c r="P75" i="4"/>
  <c r="J364" i="3" s="1"/>
  <c r="I75" i="4"/>
  <c r="J357" i="3" s="1"/>
  <c r="I79" i="4"/>
  <c r="I86" i="4" s="1"/>
  <c r="I87" i="4" s="1"/>
  <c r="J372" i="3" s="1"/>
  <c r="E29" i="51"/>
  <c r="J207" i="51"/>
  <c r="W18" i="57"/>
  <c r="W21" i="57" s="1"/>
  <c r="I94" i="58"/>
  <c r="J94" i="58"/>
  <c r="H100" i="58"/>
  <c r="J17" i="6"/>
  <c r="J155" i="58"/>
  <c r="J42" i="6" s="1"/>
  <c r="C75" i="4"/>
  <c r="J351" i="3" s="1"/>
  <c r="C79" i="4"/>
  <c r="C86" i="4" s="1"/>
  <c r="C87" i="4" s="1"/>
  <c r="J366" i="3" s="1"/>
  <c r="Q82" i="4"/>
  <c r="M69" i="4"/>
  <c r="P69" i="4"/>
  <c r="I157" i="50"/>
  <c r="E157" i="50"/>
  <c r="I160" i="50"/>
  <c r="E160" i="50"/>
  <c r="E156" i="59"/>
  <c r="I156" i="59"/>
  <c r="H88" i="56"/>
  <c r="I165" i="55"/>
  <c r="D165" i="55"/>
  <c r="E165" i="55" s="1"/>
  <c r="D157" i="58"/>
  <c r="I160" i="53"/>
  <c r="E160" i="53"/>
  <c r="W16" i="55"/>
  <c r="W23" i="55"/>
  <c r="J99" i="53"/>
  <c r="I99" i="53"/>
  <c r="X18" i="54"/>
  <c r="X21" i="54" s="1"/>
  <c r="S142" i="53"/>
  <c r="S143" i="53" s="1"/>
  <c r="E147" i="53" s="1"/>
  <c r="H147" i="53" s="1"/>
  <c r="I147" i="53" s="1"/>
  <c r="T138" i="53"/>
  <c r="T142" i="53" s="1"/>
  <c r="Z128" i="55"/>
  <c r="Z130" i="55"/>
  <c r="AJ118" i="52"/>
  <c r="Z128" i="54"/>
  <c r="J98" i="59"/>
  <c r="I98" i="59"/>
  <c r="I99" i="52"/>
  <c r="J99" i="52"/>
  <c r="J98" i="56"/>
  <c r="I98" i="56"/>
  <c r="I94" i="16"/>
  <c r="H100" i="16"/>
  <c r="J94" i="16"/>
  <c r="AQ142" i="56"/>
  <c r="I99" i="58"/>
  <c r="J99" i="58"/>
  <c r="H100" i="54"/>
  <c r="J94" i="54"/>
  <c r="I94" i="54"/>
  <c r="X23" i="50"/>
  <c r="X16" i="50"/>
  <c r="X23" i="58"/>
  <c r="X16" i="58"/>
  <c r="E159" i="56"/>
  <c r="I159" i="56"/>
  <c r="I97" i="16"/>
  <c r="J97" i="16"/>
  <c r="B42" i="51"/>
  <c r="B93" i="51"/>
  <c r="B54" i="51"/>
  <c r="B75" i="51" s="1"/>
  <c r="J363" i="3"/>
  <c r="I157" i="55"/>
  <c r="E157" i="55"/>
  <c r="D69" i="52"/>
  <c r="D75" i="52" s="1"/>
  <c r="D160" i="52" s="1"/>
  <c r="L60" i="52"/>
  <c r="D155" i="52" s="1"/>
  <c r="L35" i="59"/>
  <c r="I158" i="50"/>
  <c r="E158" i="50"/>
  <c r="E155" i="57"/>
  <c r="I155" i="57"/>
  <c r="E155" i="56"/>
  <c r="I155" i="56"/>
  <c r="O62" i="54"/>
  <c r="J96" i="55"/>
  <c r="I96" i="55"/>
  <c r="J95" i="59"/>
  <c r="I95" i="59"/>
  <c r="J95" i="54"/>
  <c r="I95" i="54"/>
  <c r="S16" i="53"/>
  <c r="X18" i="52"/>
  <c r="X21" i="52" s="1"/>
  <c r="H100" i="53"/>
  <c r="J94" i="53"/>
  <c r="I94" i="53"/>
  <c r="J95" i="50"/>
  <c r="I95" i="50"/>
  <c r="U16" i="59"/>
  <c r="U23" i="59"/>
  <c r="AQ110" i="16"/>
  <c r="AQ138" i="16" s="1"/>
  <c r="AQ142" i="16" s="1"/>
  <c r="AP138" i="16"/>
  <c r="AP142" i="16" s="1"/>
  <c r="AP143" i="16" s="1"/>
  <c r="AB147" i="16" s="1"/>
  <c r="AE147" i="16" s="1"/>
  <c r="AF147" i="16" s="1"/>
  <c r="J99" i="50"/>
  <c r="I99" i="50"/>
  <c r="AQ138" i="59"/>
  <c r="AQ142" i="59" s="1"/>
  <c r="X18" i="57"/>
  <c r="X21" i="57" s="1"/>
  <c r="I95" i="58"/>
  <c r="J95" i="58"/>
  <c r="O62" i="58"/>
  <c r="G79" i="4"/>
  <c r="G86" i="4" s="1"/>
  <c r="G87" i="4" s="1"/>
  <c r="J370" i="3" s="1"/>
  <c r="G75" i="4"/>
  <c r="J355" i="3" s="1"/>
  <c r="O61" i="50"/>
  <c r="O62" i="50" s="1"/>
  <c r="AQ138" i="56"/>
  <c r="T18" i="59"/>
  <c r="T21" i="59"/>
  <c r="H100" i="56"/>
  <c r="F75" i="4"/>
  <c r="J354" i="3" s="1"/>
  <c r="F79" i="4"/>
  <c r="F86" i="4" s="1"/>
  <c r="F87" i="4" s="1"/>
  <c r="J369" i="3" s="1"/>
  <c r="J94" i="50"/>
  <c r="I94" i="50"/>
  <c r="S142" i="57"/>
  <c r="S143" i="57" s="1"/>
  <c r="E147" i="57" s="1"/>
  <c r="H147" i="57" s="1"/>
  <c r="T138" i="57"/>
  <c r="T142" i="57" s="1"/>
  <c r="D160" i="59"/>
  <c r="I155" i="50"/>
  <c r="E155" i="50"/>
  <c r="D160" i="16"/>
  <c r="D157" i="57"/>
  <c r="E156" i="56"/>
  <c r="I156" i="56"/>
  <c r="H22" i="16"/>
  <c r="D156" i="16" s="1"/>
  <c r="H22" i="57"/>
  <c r="D156" i="57" s="1"/>
  <c r="E160" i="55"/>
  <c r="I160" i="55"/>
  <c r="E156" i="55"/>
  <c r="I156" i="55"/>
  <c r="H100" i="55"/>
  <c r="J94" i="55"/>
  <c r="I94" i="55"/>
  <c r="AQ110" i="54"/>
  <c r="AQ138" i="54" s="1"/>
  <c r="AQ142" i="54" s="1"/>
  <c r="AP138" i="54"/>
  <c r="AP142" i="54" s="1"/>
  <c r="AP143" i="54" s="1"/>
  <c r="AB147" i="54" s="1"/>
  <c r="AE147" i="54" s="1"/>
  <c r="AF147" i="54" s="1"/>
  <c r="E155" i="53"/>
  <c r="I155" i="53"/>
  <c r="Z110" i="54"/>
  <c r="Z110" i="53"/>
  <c r="Z110" i="55"/>
  <c r="U16" i="55"/>
  <c r="U23" i="55"/>
  <c r="J97" i="53"/>
  <c r="I97" i="53"/>
  <c r="H84" i="53"/>
  <c r="H35" i="53"/>
  <c r="D157" i="53" s="1"/>
  <c r="W16" i="53"/>
  <c r="W23" i="53"/>
  <c r="I156" i="50"/>
  <c r="E156" i="50"/>
  <c r="E155" i="59"/>
  <c r="I155" i="59"/>
  <c r="J98" i="54"/>
  <c r="I98" i="54"/>
  <c r="T21" i="52"/>
  <c r="T18" i="52"/>
  <c r="J98" i="50"/>
  <c r="I98" i="50"/>
  <c r="W16" i="59"/>
  <c r="W23" i="59"/>
  <c r="I95" i="57"/>
  <c r="J95" i="57"/>
  <c r="I99" i="57"/>
  <c r="J99" i="57"/>
  <c r="AQ110" i="53"/>
  <c r="AQ138" i="53" s="1"/>
  <c r="AQ142" i="53" s="1"/>
  <c r="AP138" i="53"/>
  <c r="AP142" i="53" s="1"/>
  <c r="AP143" i="53" s="1"/>
  <c r="AB147" i="53" s="1"/>
  <c r="AE147" i="53" s="1"/>
  <c r="AF147" i="53" s="1"/>
  <c r="U16" i="53"/>
  <c r="U23" i="53"/>
  <c r="AF110" i="59"/>
  <c r="AF148" i="59" s="1"/>
  <c r="I161" i="59" s="1"/>
  <c r="J161" i="59" s="1"/>
  <c r="N49" i="6" s="1"/>
  <c r="I158" i="16"/>
  <c r="E158" i="16"/>
  <c r="V23" i="16"/>
  <c r="V16" i="16"/>
  <c r="J97" i="56"/>
  <c r="I97" i="56"/>
  <c r="E158" i="57"/>
  <c r="I158" i="57"/>
  <c r="D160" i="54"/>
  <c r="Z131" i="54"/>
  <c r="H35" i="52"/>
  <c r="D157" i="52" s="1"/>
  <c r="O61" i="59"/>
  <c r="O62" i="59" s="1"/>
  <c r="O61" i="16"/>
  <c r="O62" i="16" s="1"/>
  <c r="O61" i="55"/>
  <c r="O62" i="55" s="1"/>
  <c r="S21" i="52"/>
  <c r="S24" i="52" s="1"/>
  <c r="W18" i="58"/>
  <c r="W21" i="58" s="1"/>
  <c r="V18" i="58"/>
  <c r="V21" i="58" s="1"/>
  <c r="O61" i="53"/>
  <c r="O62" i="53" s="1"/>
  <c r="I99" i="16"/>
  <c r="J99" i="16"/>
  <c r="E159" i="57"/>
  <c r="I159" i="57"/>
  <c r="T18" i="57"/>
  <c r="T21" i="57" s="1"/>
  <c r="K125" i="51"/>
  <c r="H36" i="4"/>
  <c r="H35" i="4"/>
  <c r="U16" i="54"/>
  <c r="U23" i="54"/>
  <c r="H85" i="57"/>
  <c r="H88" i="57" s="1"/>
  <c r="D35" i="4"/>
  <c r="D36" i="4"/>
  <c r="G29" i="51"/>
  <c r="E207" i="51"/>
  <c r="H100" i="59"/>
  <c r="U18" i="58"/>
  <c r="U21" i="58"/>
  <c r="AE199" i="51"/>
  <c r="O80" i="4"/>
  <c r="H100" i="50" l="1"/>
  <c r="H88" i="53"/>
  <c r="I159" i="55"/>
  <c r="I97" i="50"/>
  <c r="AE148" i="58"/>
  <c r="AF148" i="16"/>
  <c r="I161" i="16" s="1"/>
  <c r="J161" i="16" s="1"/>
  <c r="M49" i="6" s="1"/>
  <c r="F50" i="51"/>
  <c r="F51" i="51"/>
  <c r="X18" i="55"/>
  <c r="X21" i="55"/>
  <c r="D86" i="4"/>
  <c r="D87" i="4" s="1"/>
  <c r="J367" i="3" s="1"/>
  <c r="AB128" i="55" s="1"/>
  <c r="AE128" i="55" s="1"/>
  <c r="AF128" i="55" s="1"/>
  <c r="F27" i="51"/>
  <c r="S18" i="16"/>
  <c r="S21" i="16"/>
  <c r="D49" i="6"/>
  <c r="D24" i="6"/>
  <c r="D165" i="57"/>
  <c r="E165" i="57" s="1"/>
  <c r="I165" i="57"/>
  <c r="I165" i="53"/>
  <c r="D165" i="53"/>
  <c r="E165" i="53" s="1"/>
  <c r="Q69" i="4"/>
  <c r="O69" i="4"/>
  <c r="D69" i="4"/>
  <c r="E157" i="52"/>
  <c r="I157" i="52"/>
  <c r="K21" i="6"/>
  <c r="J158" i="57"/>
  <c r="K46" i="6" s="1"/>
  <c r="U18" i="55"/>
  <c r="U21" i="55" s="1"/>
  <c r="L19" i="6"/>
  <c r="J156" i="56"/>
  <c r="L44" i="6" s="1"/>
  <c r="J100" i="50"/>
  <c r="E30" i="6" s="1"/>
  <c r="I100" i="50"/>
  <c r="D174" i="50"/>
  <c r="D176" i="50" s="1"/>
  <c r="D178" i="50" s="1"/>
  <c r="D180" i="50" s="1"/>
  <c r="D182" i="50" s="1"/>
  <c r="L22" i="6"/>
  <c r="J159" i="56"/>
  <c r="L47" i="6" s="1"/>
  <c r="E157" i="58"/>
  <c r="I157" i="58"/>
  <c r="AB112" i="54"/>
  <c r="AE112" i="54" s="1"/>
  <c r="AF112" i="54" s="1"/>
  <c r="AB142" i="53"/>
  <c r="AE142" i="53" s="1"/>
  <c r="AF142" i="53" s="1"/>
  <c r="AB142" i="54"/>
  <c r="AE142" i="54" s="1"/>
  <c r="AF142" i="54" s="1"/>
  <c r="AL132" i="50"/>
  <c r="AP132" i="50" s="1"/>
  <c r="AQ132" i="50" s="1"/>
  <c r="AB112" i="53"/>
  <c r="AE112" i="53" s="1"/>
  <c r="AF112" i="53" s="1"/>
  <c r="AL125" i="50"/>
  <c r="AP125" i="50" s="1"/>
  <c r="AQ125" i="50" s="1"/>
  <c r="AB142" i="55"/>
  <c r="AE142" i="55" s="1"/>
  <c r="AF142" i="55" s="1"/>
  <c r="AL110" i="52"/>
  <c r="AP110" i="52" s="1"/>
  <c r="AL123" i="52"/>
  <c r="AP123" i="52" s="1"/>
  <c r="AQ123" i="52" s="1"/>
  <c r="AB112" i="55"/>
  <c r="AE112" i="55" s="1"/>
  <c r="AF112" i="55" s="1"/>
  <c r="AL111" i="50"/>
  <c r="AP111" i="50" s="1"/>
  <c r="AQ111" i="50" s="1"/>
  <c r="D44" i="6"/>
  <c r="D19" i="6"/>
  <c r="J155" i="55"/>
  <c r="I42" i="6" s="1"/>
  <c r="I17" i="6"/>
  <c r="E160" i="57"/>
  <c r="I160" i="57"/>
  <c r="M17" i="6"/>
  <c r="J155" i="16"/>
  <c r="M42" i="6" s="1"/>
  <c r="AB111" i="55"/>
  <c r="AE111" i="55" s="1"/>
  <c r="AF111" i="55" s="1"/>
  <c r="AB111" i="53"/>
  <c r="AE111" i="53" s="1"/>
  <c r="AF111" i="53" s="1"/>
  <c r="AL113" i="52"/>
  <c r="AP113" i="52" s="1"/>
  <c r="AQ113" i="52" s="1"/>
  <c r="AB111" i="54"/>
  <c r="AE111" i="54" s="1"/>
  <c r="AF111" i="54" s="1"/>
  <c r="V18" i="57"/>
  <c r="V21" i="57" s="1"/>
  <c r="L21" i="6"/>
  <c r="J158" i="56"/>
  <c r="L46" i="6" s="1"/>
  <c r="J158" i="54"/>
  <c r="H46" i="6" s="1"/>
  <c r="H21" i="6"/>
  <c r="M21" i="6"/>
  <c r="J158" i="16"/>
  <c r="M46" i="6" s="1"/>
  <c r="E156" i="57"/>
  <c r="I156" i="57"/>
  <c r="J155" i="50"/>
  <c r="E42" i="6" s="1"/>
  <c r="E17" i="6"/>
  <c r="AB110" i="53"/>
  <c r="AE110" i="53" s="1"/>
  <c r="AB110" i="54"/>
  <c r="AE110" i="54" s="1"/>
  <c r="AL110" i="50"/>
  <c r="AP110" i="50" s="1"/>
  <c r="AB110" i="55"/>
  <c r="AE110" i="55" s="1"/>
  <c r="AL114" i="52"/>
  <c r="AP114" i="52" s="1"/>
  <c r="AQ114" i="52" s="1"/>
  <c r="E160" i="52"/>
  <c r="I160" i="52"/>
  <c r="X18" i="58"/>
  <c r="X21" i="58" s="1"/>
  <c r="W18" i="55"/>
  <c r="W21" i="55" s="1"/>
  <c r="E112" i="54"/>
  <c r="H112" i="54" s="1"/>
  <c r="I112" i="54" s="1"/>
  <c r="E142" i="54"/>
  <c r="H142" i="54" s="1"/>
  <c r="I142" i="54" s="1"/>
  <c r="E142" i="53"/>
  <c r="H142" i="53" s="1"/>
  <c r="I142" i="53" s="1"/>
  <c r="O132" i="50"/>
  <c r="S132" i="50" s="1"/>
  <c r="T132" i="50" s="1"/>
  <c r="E142" i="55"/>
  <c r="H142" i="55" s="1"/>
  <c r="I142" i="55" s="1"/>
  <c r="O125" i="50"/>
  <c r="S125" i="50" s="1"/>
  <c r="T125" i="50" s="1"/>
  <c r="E112" i="55"/>
  <c r="H112" i="55" s="1"/>
  <c r="I112" i="55" s="1"/>
  <c r="E112" i="53"/>
  <c r="H112" i="53" s="1"/>
  <c r="I112" i="53" s="1"/>
  <c r="O110" i="52"/>
  <c r="S110" i="52" s="1"/>
  <c r="O111" i="50"/>
  <c r="S111" i="50" s="1"/>
  <c r="T111" i="50" s="1"/>
  <c r="O123" i="52"/>
  <c r="S123" i="52" s="1"/>
  <c r="T123" i="52" s="1"/>
  <c r="T18" i="50"/>
  <c r="T21" i="50" s="1"/>
  <c r="E160" i="56"/>
  <c r="I160" i="56"/>
  <c r="B58" i="51"/>
  <c r="B78" i="51" s="1"/>
  <c r="B94" i="51"/>
  <c r="B43" i="51"/>
  <c r="U18" i="56"/>
  <c r="U21" i="56" s="1"/>
  <c r="E160" i="58"/>
  <c r="I160" i="58"/>
  <c r="I147" i="56"/>
  <c r="I148" i="56" s="1"/>
  <c r="D161" i="56" s="1"/>
  <c r="H148" i="56"/>
  <c r="J19" i="6"/>
  <c r="J156" i="58"/>
  <c r="J44" i="6" s="1"/>
  <c r="D165" i="16"/>
  <c r="E165" i="16" s="1"/>
  <c r="I165" i="16"/>
  <c r="J159" i="53"/>
  <c r="G47" i="6" s="1"/>
  <c r="G22" i="6"/>
  <c r="I165" i="54"/>
  <c r="D165" i="54"/>
  <c r="E165" i="54" s="1"/>
  <c r="I160" i="54"/>
  <c r="E160" i="54"/>
  <c r="U21" i="53"/>
  <c r="U18" i="53"/>
  <c r="W18" i="53"/>
  <c r="W21" i="53" s="1"/>
  <c r="J155" i="53"/>
  <c r="G42" i="6" s="1"/>
  <c r="G17" i="6"/>
  <c r="I19" i="6"/>
  <c r="J156" i="55"/>
  <c r="I44" i="6" s="1"/>
  <c r="E156" i="16"/>
  <c r="I156" i="16"/>
  <c r="E157" i="57"/>
  <c r="I157" i="57"/>
  <c r="E110" i="54"/>
  <c r="H110" i="54" s="1"/>
  <c r="E110" i="55"/>
  <c r="H110" i="55" s="1"/>
  <c r="E110" i="53"/>
  <c r="H110" i="53" s="1"/>
  <c r="O114" i="52"/>
  <c r="S114" i="52" s="1"/>
  <c r="T114" i="52" s="1"/>
  <c r="O110" i="50"/>
  <c r="S110" i="50" s="1"/>
  <c r="J100" i="53"/>
  <c r="G30" i="6" s="1"/>
  <c r="D174" i="53"/>
  <c r="D176" i="53" s="1"/>
  <c r="D178" i="53" s="1"/>
  <c r="D180" i="53" s="1"/>
  <c r="D182" i="53" s="1"/>
  <c r="I100" i="53"/>
  <c r="J157" i="55"/>
  <c r="I45" i="6" s="1"/>
  <c r="I20" i="6"/>
  <c r="G23" i="6"/>
  <c r="J160" i="53"/>
  <c r="G48" i="6" s="1"/>
  <c r="E157" i="54"/>
  <c r="I157" i="54"/>
  <c r="J99" i="56"/>
  <c r="I99" i="56"/>
  <c r="I165" i="50"/>
  <c r="D165" i="50"/>
  <c r="E165" i="50" s="1"/>
  <c r="N21" i="6"/>
  <c r="J158" i="59"/>
  <c r="N46" i="6" s="1"/>
  <c r="M20" i="6"/>
  <c r="J157" i="16"/>
  <c r="M45" i="6" s="1"/>
  <c r="D157" i="59"/>
  <c r="J158" i="53"/>
  <c r="G46" i="6" s="1"/>
  <c r="G21" i="6"/>
  <c r="G15" i="51"/>
  <c r="F13" i="51"/>
  <c r="B36" i="51" s="1"/>
  <c r="S18" i="56"/>
  <c r="S21" i="56" s="1"/>
  <c r="J100" i="52"/>
  <c r="F30" i="6" s="1"/>
  <c r="D174" i="52"/>
  <c r="D176" i="52" s="1"/>
  <c r="D178" i="52" s="1"/>
  <c r="D180" i="52" s="1"/>
  <c r="D182" i="52" s="1"/>
  <c r="I100" i="52"/>
  <c r="J158" i="55"/>
  <c r="I46" i="6" s="1"/>
  <c r="I21" i="6"/>
  <c r="AF148" i="56"/>
  <c r="I161" i="56" s="1"/>
  <c r="J161" i="56" s="1"/>
  <c r="L49" i="6" s="1"/>
  <c r="E128" i="54"/>
  <c r="H128" i="54" s="1"/>
  <c r="I128" i="54" s="1"/>
  <c r="E129" i="53"/>
  <c r="H129" i="53" s="1"/>
  <c r="I129" i="53" s="1"/>
  <c r="E128" i="55"/>
  <c r="H128" i="55" s="1"/>
  <c r="I128" i="55" s="1"/>
  <c r="E130" i="55"/>
  <c r="H130" i="55" s="1"/>
  <c r="I130" i="55" s="1"/>
  <c r="O118" i="52"/>
  <c r="S118" i="52" s="1"/>
  <c r="T118" i="52" s="1"/>
  <c r="E131" i="54"/>
  <c r="H131" i="54" s="1"/>
  <c r="I131" i="54" s="1"/>
  <c r="AE148" i="57"/>
  <c r="S18" i="59"/>
  <c r="S21" i="59" s="1"/>
  <c r="N22" i="6"/>
  <c r="J159" i="59"/>
  <c r="N47" i="6" s="1"/>
  <c r="E157" i="56"/>
  <c r="I157" i="56"/>
  <c r="D165" i="58"/>
  <c r="E165" i="58" s="1"/>
  <c r="I165" i="58"/>
  <c r="J156" i="54"/>
  <c r="H44" i="6" s="1"/>
  <c r="H19" i="6"/>
  <c r="U18" i="54"/>
  <c r="U21" i="54" s="1"/>
  <c r="J160" i="55"/>
  <c r="I48" i="6" s="1"/>
  <c r="I23" i="6"/>
  <c r="L17" i="6"/>
  <c r="J155" i="56"/>
  <c r="L42" i="6" s="1"/>
  <c r="E155" i="52"/>
  <c r="I155" i="52"/>
  <c r="J100" i="54"/>
  <c r="H30" i="6" s="1"/>
  <c r="I100" i="54"/>
  <c r="D174" i="54"/>
  <c r="D176" i="54" s="1"/>
  <c r="D178" i="54" s="1"/>
  <c r="D180" i="54" s="1"/>
  <c r="D182" i="54" s="1"/>
  <c r="D165" i="56"/>
  <c r="E165" i="56" s="1"/>
  <c r="I165" i="56"/>
  <c r="J160" i="50"/>
  <c r="E48" i="6" s="1"/>
  <c r="E23" i="6"/>
  <c r="D174" i="58"/>
  <c r="D176" i="58" s="1"/>
  <c r="D178" i="58" s="1"/>
  <c r="D180" i="58" s="1"/>
  <c r="D182" i="58" s="1"/>
  <c r="I100" i="58"/>
  <c r="J100" i="58"/>
  <c r="J30" i="6" s="1"/>
  <c r="W21" i="54"/>
  <c r="W18" i="54"/>
  <c r="J158" i="52"/>
  <c r="F46" i="6" s="1"/>
  <c r="F21" i="6"/>
  <c r="J159" i="54"/>
  <c r="H47" i="6" s="1"/>
  <c r="H22" i="6"/>
  <c r="J156" i="53"/>
  <c r="G44" i="6" s="1"/>
  <c r="G19" i="6"/>
  <c r="D174" i="57"/>
  <c r="D176" i="57" s="1"/>
  <c r="D178" i="57" s="1"/>
  <c r="D180" i="57" s="1"/>
  <c r="D182" i="57" s="1"/>
  <c r="I100" i="57"/>
  <c r="J100" i="57"/>
  <c r="K30" i="6" s="1"/>
  <c r="N17" i="6"/>
  <c r="J155" i="59"/>
  <c r="N42" i="6" s="1"/>
  <c r="I147" i="57"/>
  <c r="I148" i="57" s="1"/>
  <c r="D161" i="57" s="1"/>
  <c r="E161" i="57" s="1"/>
  <c r="K24" i="6" s="1"/>
  <c r="H148" i="57"/>
  <c r="U21" i="59"/>
  <c r="U18" i="59"/>
  <c r="S18" i="53"/>
  <c r="S23" i="53" s="1"/>
  <c r="J158" i="50"/>
  <c r="E46" i="6" s="1"/>
  <c r="E21" i="6"/>
  <c r="I100" i="16"/>
  <c r="D174" i="16"/>
  <c r="D176" i="16" s="1"/>
  <c r="D178" i="16" s="1"/>
  <c r="D180" i="16" s="1"/>
  <c r="D182" i="16" s="1"/>
  <c r="J100" i="16"/>
  <c r="M30" i="6" s="1"/>
  <c r="T18" i="58"/>
  <c r="T21" i="58" s="1"/>
  <c r="J155" i="54"/>
  <c r="H42" i="6" s="1"/>
  <c r="H17" i="6"/>
  <c r="F19" i="6"/>
  <c r="J156" i="52"/>
  <c r="F44" i="6" s="1"/>
  <c r="S18" i="54"/>
  <c r="S23" i="54" s="1"/>
  <c r="D174" i="59"/>
  <c r="D176" i="59" s="1"/>
  <c r="D178" i="59" s="1"/>
  <c r="D180" i="59" s="1"/>
  <c r="D182" i="59" s="1"/>
  <c r="J100" i="59"/>
  <c r="N30" i="6" s="1"/>
  <c r="I100" i="59"/>
  <c r="K22" i="6"/>
  <c r="J159" i="57"/>
  <c r="K47" i="6" s="1"/>
  <c r="V18" i="16"/>
  <c r="V21" i="16" s="1"/>
  <c r="AE148" i="59"/>
  <c r="W18" i="59"/>
  <c r="W21" i="59" s="1"/>
  <c r="J156" i="50"/>
  <c r="E44" i="6" s="1"/>
  <c r="E19" i="6"/>
  <c r="E157" i="53"/>
  <c r="I157" i="53"/>
  <c r="J100" i="55"/>
  <c r="I30" i="6" s="1"/>
  <c r="D174" i="55"/>
  <c r="D176" i="55" s="1"/>
  <c r="D178" i="55" s="1"/>
  <c r="D180" i="55" s="1"/>
  <c r="D182" i="55" s="1"/>
  <c r="I100" i="55"/>
  <c r="E160" i="16"/>
  <c r="I160" i="16"/>
  <c r="E160" i="59"/>
  <c r="I160" i="59"/>
  <c r="J100" i="56"/>
  <c r="L30" i="6" s="1"/>
  <c r="I100" i="56"/>
  <c r="D174" i="56"/>
  <c r="D176" i="56" s="1"/>
  <c r="D178" i="56" s="1"/>
  <c r="D180" i="56" s="1"/>
  <c r="D182" i="56" s="1"/>
  <c r="K17" i="6"/>
  <c r="J155" i="57"/>
  <c r="K42" i="6" s="1"/>
  <c r="B126" i="51"/>
  <c r="B110" i="51"/>
  <c r="X21" i="50"/>
  <c r="X18" i="50"/>
  <c r="N19" i="6"/>
  <c r="J156" i="59"/>
  <c r="N44" i="6" s="1"/>
  <c r="J157" i="50"/>
  <c r="E45" i="6" s="1"/>
  <c r="E20" i="6"/>
  <c r="O134" i="50"/>
  <c r="S134" i="50" s="1"/>
  <c r="T134" i="50" s="1"/>
  <c r="O134" i="52"/>
  <c r="S134" i="52" s="1"/>
  <c r="T134" i="52" s="1"/>
  <c r="AL134" i="50"/>
  <c r="AP134" i="50" s="1"/>
  <c r="AQ134" i="50" s="1"/>
  <c r="AL134" i="52"/>
  <c r="AP134" i="52" s="1"/>
  <c r="AQ134" i="52" s="1"/>
  <c r="E159" i="58"/>
  <c r="I159" i="58"/>
  <c r="W21" i="56"/>
  <c r="W18" i="56"/>
  <c r="V18" i="50"/>
  <c r="V21" i="50" s="1"/>
  <c r="I147" i="58"/>
  <c r="I148" i="58" s="1"/>
  <c r="D161" i="58" s="1"/>
  <c r="E161" i="58" s="1"/>
  <c r="J24" i="6" s="1"/>
  <c r="H148" i="58"/>
  <c r="I147" i="59"/>
  <c r="I148" i="59" s="1"/>
  <c r="D161" i="59" s="1"/>
  <c r="E161" i="59" s="1"/>
  <c r="N24" i="6" s="1"/>
  <c r="H148" i="59"/>
  <c r="J159" i="50"/>
  <c r="E47" i="6" s="1"/>
  <c r="E22" i="6"/>
  <c r="E111" i="55"/>
  <c r="H111" i="55" s="1"/>
  <c r="I111" i="55" s="1"/>
  <c r="E111" i="53"/>
  <c r="H111" i="53" s="1"/>
  <c r="I111" i="53" s="1"/>
  <c r="E111" i="54"/>
  <c r="H111" i="54" s="1"/>
  <c r="I111" i="54" s="1"/>
  <c r="O113" i="52"/>
  <c r="S113" i="52" s="1"/>
  <c r="T113" i="52" s="1"/>
  <c r="J21" i="6"/>
  <c r="J158" i="58"/>
  <c r="J46" i="6" s="1"/>
  <c r="AE148" i="16"/>
  <c r="D165" i="59"/>
  <c r="E165" i="59" s="1"/>
  <c r="I165" i="59"/>
  <c r="AE148" i="56"/>
  <c r="AF148" i="58"/>
  <c r="I161" i="58" s="1"/>
  <c r="J161" i="58" s="1"/>
  <c r="J49" i="6" s="1"/>
  <c r="I162" i="58"/>
  <c r="I147" i="16"/>
  <c r="I148" i="16" s="1"/>
  <c r="D161" i="16" s="1"/>
  <c r="E161" i="16" s="1"/>
  <c r="M24" i="6" s="1"/>
  <c r="H148" i="16"/>
  <c r="J159" i="55"/>
  <c r="I47" i="6" s="1"/>
  <c r="I22" i="6"/>
  <c r="F22" i="6"/>
  <c r="J159" i="52"/>
  <c r="F47" i="6" s="1"/>
  <c r="D162" i="57" l="1"/>
  <c r="C136" i="51"/>
  <c r="D136" i="51" s="1"/>
  <c r="G51" i="51"/>
  <c r="C108" i="51"/>
  <c r="I108" i="51" s="1"/>
  <c r="E73" i="51"/>
  <c r="C134" i="51"/>
  <c r="H134" i="51" s="1"/>
  <c r="C54" i="51"/>
  <c r="G50" i="51"/>
  <c r="C107" i="51"/>
  <c r="I107" i="51" s="1"/>
  <c r="C135" i="51"/>
  <c r="D135" i="51" s="1"/>
  <c r="E72" i="51"/>
  <c r="AB129" i="53"/>
  <c r="AE129" i="53" s="1"/>
  <c r="AF129" i="53" s="1"/>
  <c r="AB130" i="55"/>
  <c r="AE130" i="55" s="1"/>
  <c r="AF130" i="55" s="1"/>
  <c r="S21" i="54"/>
  <c r="S24" i="54" s="1"/>
  <c r="D162" i="16"/>
  <c r="E162" i="16" s="1"/>
  <c r="AB131" i="54"/>
  <c r="AE131" i="54" s="1"/>
  <c r="AF131" i="54" s="1"/>
  <c r="AL118" i="52"/>
  <c r="AP118" i="52" s="1"/>
  <c r="AQ118" i="52" s="1"/>
  <c r="AB128" i="54"/>
  <c r="AE128" i="54" s="1"/>
  <c r="AF128" i="54" s="1"/>
  <c r="I162" i="56"/>
  <c r="F29" i="51"/>
  <c r="F138" i="51" s="1"/>
  <c r="G138" i="51" s="1"/>
  <c r="H27" i="51"/>
  <c r="H29" i="51" s="1"/>
  <c r="F142" i="51" s="1"/>
  <c r="J162" i="56"/>
  <c r="I164" i="56"/>
  <c r="E157" i="59"/>
  <c r="I157" i="59"/>
  <c r="I162" i="59" s="1"/>
  <c r="D162" i="59"/>
  <c r="H148" i="53"/>
  <c r="I110" i="53"/>
  <c r="I148" i="53" s="1"/>
  <c r="D161" i="53" s="1"/>
  <c r="AF110" i="55"/>
  <c r="AF148" i="55" s="1"/>
  <c r="I161" i="55" s="1"/>
  <c r="AE148" i="55"/>
  <c r="E162" i="57"/>
  <c r="D164" i="57"/>
  <c r="S21" i="53"/>
  <c r="S24" i="53" s="1"/>
  <c r="J157" i="54"/>
  <c r="H45" i="6" s="1"/>
  <c r="H50" i="6" s="1"/>
  <c r="H51" i="6" s="1"/>
  <c r="H20" i="6"/>
  <c r="H148" i="55"/>
  <c r="I110" i="55"/>
  <c r="I148" i="55" s="1"/>
  <c r="D161" i="55" s="1"/>
  <c r="K20" i="6"/>
  <c r="J157" i="57"/>
  <c r="K45" i="6" s="1"/>
  <c r="J160" i="54"/>
  <c r="H48" i="6" s="1"/>
  <c r="H23" i="6"/>
  <c r="E161" i="56"/>
  <c r="L24" i="6" s="1"/>
  <c r="D162" i="56"/>
  <c r="AQ110" i="50"/>
  <c r="AQ138" i="50" s="1"/>
  <c r="AP138" i="50"/>
  <c r="J160" i="57"/>
  <c r="K48" i="6" s="1"/>
  <c r="K23" i="6"/>
  <c r="F20" i="6"/>
  <c r="J157" i="52"/>
  <c r="F45" i="6" s="1"/>
  <c r="D162" i="58"/>
  <c r="J155" i="52"/>
  <c r="F42" i="6" s="1"/>
  <c r="F17" i="6"/>
  <c r="S138" i="50"/>
  <c r="T138" i="50" s="1"/>
  <c r="T110" i="50"/>
  <c r="I110" i="54"/>
  <c r="I148" i="54" s="1"/>
  <c r="D161" i="54" s="1"/>
  <c r="H148" i="54"/>
  <c r="I162" i="16"/>
  <c r="L23" i="6"/>
  <c r="J160" i="56"/>
  <c r="L48" i="6" s="1"/>
  <c r="J160" i="52"/>
  <c r="F48" i="6" s="1"/>
  <c r="F23" i="6"/>
  <c r="AF110" i="54"/>
  <c r="AF148" i="54" s="1"/>
  <c r="I161" i="54" s="1"/>
  <c r="J161" i="54" s="1"/>
  <c r="H49" i="6" s="1"/>
  <c r="AE148" i="54"/>
  <c r="I162" i="57"/>
  <c r="AP138" i="52"/>
  <c r="AP142" i="52" s="1"/>
  <c r="AP143" i="52" s="1"/>
  <c r="AB147" i="52" s="1"/>
  <c r="AE147" i="52" s="1"/>
  <c r="AQ110" i="52"/>
  <c r="AQ138" i="52" s="1"/>
  <c r="AQ142" i="52" s="1"/>
  <c r="J162" i="58"/>
  <c r="I164" i="58"/>
  <c r="B44" i="51"/>
  <c r="B95" i="51"/>
  <c r="B62" i="51"/>
  <c r="B81" i="51" s="1"/>
  <c r="J22" i="6"/>
  <c r="J159" i="58"/>
  <c r="J47" i="6" s="1"/>
  <c r="M23" i="6"/>
  <c r="J160" i="16"/>
  <c r="M48" i="6" s="1"/>
  <c r="G16" i="51"/>
  <c r="F14" i="51" s="1"/>
  <c r="B37" i="51" s="1"/>
  <c r="B138" i="51"/>
  <c r="B139" i="51"/>
  <c r="B140" i="51"/>
  <c r="N23" i="6"/>
  <c r="J160" i="59"/>
  <c r="N48" i="6" s="1"/>
  <c r="J157" i="53"/>
  <c r="G45" i="6" s="1"/>
  <c r="G20" i="6"/>
  <c r="L20" i="6"/>
  <c r="L25" i="6" s="1"/>
  <c r="L26" i="6" s="1"/>
  <c r="J157" i="56"/>
  <c r="L45" i="6" s="1"/>
  <c r="M19" i="6"/>
  <c r="M25" i="6" s="1"/>
  <c r="M26" i="6" s="1"/>
  <c r="J156" i="16"/>
  <c r="M44" i="6" s="1"/>
  <c r="M50" i="6" s="1"/>
  <c r="M51" i="6" s="1"/>
  <c r="J23" i="6"/>
  <c r="J160" i="58"/>
  <c r="J48" i="6" s="1"/>
  <c r="B127" i="51"/>
  <c r="B113" i="51"/>
  <c r="S138" i="52"/>
  <c r="T110" i="52"/>
  <c r="AF110" i="53"/>
  <c r="AF148" i="53" s="1"/>
  <c r="I161" i="53" s="1"/>
  <c r="AE148" i="53"/>
  <c r="K19" i="6"/>
  <c r="K25" i="6" s="1"/>
  <c r="K26" i="6" s="1"/>
  <c r="J156" i="57"/>
  <c r="K44" i="6" s="1"/>
  <c r="K50" i="6" s="1"/>
  <c r="K51" i="6" s="1"/>
  <c r="J20" i="6"/>
  <c r="J25" i="6" s="1"/>
  <c r="J26" i="6" s="1"/>
  <c r="J157" i="58"/>
  <c r="J45" i="6" s="1"/>
  <c r="J50" i="6" s="1"/>
  <c r="J51" i="6" s="1"/>
  <c r="F72" i="51" l="1"/>
  <c r="J107" i="51"/>
  <c r="J72" i="51"/>
  <c r="K72" i="51" s="1"/>
  <c r="F135" i="51"/>
  <c r="G135" i="51" s="1"/>
  <c r="H135" i="51" s="1"/>
  <c r="H72" i="51"/>
  <c r="I72" i="51" s="1"/>
  <c r="E107" i="51" s="1"/>
  <c r="C93" i="51"/>
  <c r="E93" i="51" s="1"/>
  <c r="D54" i="51"/>
  <c r="C126" i="51"/>
  <c r="K126" i="51" s="1"/>
  <c r="D164" i="16"/>
  <c r="D166" i="16" s="1"/>
  <c r="E166" i="16" s="1"/>
  <c r="M27" i="6" s="1"/>
  <c r="F73" i="51"/>
  <c r="J108" i="51"/>
  <c r="J73" i="51"/>
  <c r="K73" i="51" s="1"/>
  <c r="H73" i="51"/>
  <c r="I73" i="51" s="1"/>
  <c r="E108" i="51" s="1"/>
  <c r="F136" i="51"/>
  <c r="G136" i="51" s="1"/>
  <c r="H136" i="51" s="1"/>
  <c r="G146" i="51"/>
  <c r="G142" i="51"/>
  <c r="L50" i="6"/>
  <c r="L51" i="6" s="1"/>
  <c r="B66" i="51"/>
  <c r="B84" i="51" s="1"/>
  <c r="B96" i="51"/>
  <c r="B45" i="51"/>
  <c r="J162" i="59"/>
  <c r="I164" i="59"/>
  <c r="S142" i="52"/>
  <c r="S143" i="52" s="1"/>
  <c r="E147" i="52" s="1"/>
  <c r="H147" i="52" s="1"/>
  <c r="T138" i="52"/>
  <c r="T142" i="52" s="1"/>
  <c r="E161" i="53"/>
  <c r="G24" i="6" s="1"/>
  <c r="G25" i="6" s="1"/>
  <c r="G26" i="6" s="1"/>
  <c r="D162" i="53"/>
  <c r="N20" i="6"/>
  <c r="N25" i="6" s="1"/>
  <c r="J157" i="59"/>
  <c r="N45" i="6" s="1"/>
  <c r="N50" i="6" s="1"/>
  <c r="N51" i="6" s="1"/>
  <c r="I166" i="56"/>
  <c r="J166" i="56" s="1"/>
  <c r="L52" i="6" s="1"/>
  <c r="J164" i="56"/>
  <c r="B128" i="51"/>
  <c r="B116" i="51"/>
  <c r="E161" i="54"/>
  <c r="H24" i="6" s="1"/>
  <c r="H25" i="6" s="1"/>
  <c r="H26" i="6" s="1"/>
  <c r="D162" i="54"/>
  <c r="E162" i="58"/>
  <c r="D164" i="58"/>
  <c r="E161" i="55"/>
  <c r="I24" i="6" s="1"/>
  <c r="I25" i="6" s="1"/>
  <c r="I26" i="6" s="1"/>
  <c r="D162" i="55"/>
  <c r="J161" i="55"/>
  <c r="I49" i="6" s="1"/>
  <c r="I50" i="6" s="1"/>
  <c r="I51" i="6" s="1"/>
  <c r="I162" i="55"/>
  <c r="J162" i="16"/>
  <c r="I164" i="16"/>
  <c r="J161" i="53"/>
  <c r="G49" i="6" s="1"/>
  <c r="G50" i="6" s="1"/>
  <c r="G51" i="6" s="1"/>
  <c r="I162" i="53"/>
  <c r="B142" i="51"/>
  <c r="B143" i="51"/>
  <c r="B144" i="51"/>
  <c r="I166" i="58"/>
  <c r="J166" i="58" s="1"/>
  <c r="J52" i="6" s="1"/>
  <c r="J164" i="58"/>
  <c r="AF147" i="52"/>
  <c r="AF148" i="52" s="1"/>
  <c r="I161" i="52" s="1"/>
  <c r="AE148" i="52"/>
  <c r="J162" i="57"/>
  <c r="I164" i="57"/>
  <c r="E162" i="56"/>
  <c r="D164" i="56"/>
  <c r="D166" i="57"/>
  <c r="E166" i="57" s="1"/>
  <c r="K27" i="6" s="1"/>
  <c r="E164" i="57"/>
  <c r="E164" i="16"/>
  <c r="E162" i="59"/>
  <c r="D164" i="59"/>
  <c r="I162" i="54"/>
  <c r="C141" i="51" l="1"/>
  <c r="F141" i="51" s="1"/>
  <c r="G141" i="51" s="1"/>
  <c r="H141" i="51" s="1"/>
  <c r="E54" i="51"/>
  <c r="D166" i="56"/>
  <c r="E166" i="56" s="1"/>
  <c r="L27" i="6" s="1"/>
  <c r="E164" i="56"/>
  <c r="J162" i="53"/>
  <c r="I164" i="53"/>
  <c r="J164" i="16"/>
  <c r="I166" i="16"/>
  <c r="J166" i="16" s="1"/>
  <c r="M52" i="6" s="1"/>
  <c r="E162" i="55"/>
  <c r="D164" i="55"/>
  <c r="B146" i="51"/>
  <c r="B147" i="51"/>
  <c r="B148" i="51"/>
  <c r="I166" i="59"/>
  <c r="J166" i="59" s="1"/>
  <c r="N52" i="6" s="1"/>
  <c r="J164" i="59"/>
  <c r="B129" i="51"/>
  <c r="B119" i="51"/>
  <c r="J162" i="54"/>
  <c r="I164" i="54"/>
  <c r="J161" i="52"/>
  <c r="F49" i="6" s="1"/>
  <c r="F50" i="6" s="1"/>
  <c r="F51" i="6" s="1"/>
  <c r="I162" i="52"/>
  <c r="E162" i="54"/>
  <c r="D164" i="54"/>
  <c r="E162" i="53"/>
  <c r="D164" i="53"/>
  <c r="I147" i="52"/>
  <c r="I148" i="52" s="1"/>
  <c r="D161" i="52" s="1"/>
  <c r="H148" i="52"/>
  <c r="E164" i="59"/>
  <c r="N26" i="6" s="1"/>
  <c r="D166" i="59"/>
  <c r="E166" i="59" s="1"/>
  <c r="N27" i="6" s="1"/>
  <c r="J164" i="57"/>
  <c r="I166" i="57"/>
  <c r="J166" i="57" s="1"/>
  <c r="K52" i="6" s="1"/>
  <c r="J162" i="55"/>
  <c r="I164" i="55"/>
  <c r="E164" i="58"/>
  <c r="D166" i="58"/>
  <c r="E166" i="58" s="1"/>
  <c r="J27" i="6" s="1"/>
  <c r="F54" i="51" l="1"/>
  <c r="F55" i="51"/>
  <c r="D166" i="55"/>
  <c r="E166" i="55" s="1"/>
  <c r="I27" i="6" s="1"/>
  <c r="E164" i="55"/>
  <c r="I166" i="53"/>
  <c r="J166" i="53" s="1"/>
  <c r="G52" i="6" s="1"/>
  <c r="J164" i="53"/>
  <c r="D166" i="53"/>
  <c r="E166" i="53" s="1"/>
  <c r="G27" i="6" s="1"/>
  <c r="E164" i="53"/>
  <c r="J162" i="52"/>
  <c r="I164" i="52"/>
  <c r="E161" i="52"/>
  <c r="F24" i="6" s="1"/>
  <c r="F25" i="6" s="1"/>
  <c r="F26" i="6" s="1"/>
  <c r="D162" i="52"/>
  <c r="B150" i="51"/>
  <c r="B151" i="51"/>
  <c r="B152" i="51"/>
  <c r="I166" i="55"/>
  <c r="J166" i="55" s="1"/>
  <c r="I52" i="6" s="1"/>
  <c r="J164" i="55"/>
  <c r="D166" i="54"/>
  <c r="E166" i="54" s="1"/>
  <c r="H27" i="6" s="1"/>
  <c r="E164" i="54"/>
  <c r="I166" i="54"/>
  <c r="J166" i="54" s="1"/>
  <c r="H52" i="6" s="1"/>
  <c r="J164" i="54"/>
  <c r="E76" i="51" l="1"/>
  <c r="G55" i="51"/>
  <c r="C111" i="51"/>
  <c r="I111" i="51" s="1"/>
  <c r="C140" i="51"/>
  <c r="D140" i="51" s="1"/>
  <c r="G54" i="51"/>
  <c r="C110" i="51"/>
  <c r="I110" i="51" s="1"/>
  <c r="C139" i="51"/>
  <c r="D139" i="51" s="1"/>
  <c r="E75" i="51"/>
  <c r="C138" i="51"/>
  <c r="D138" i="51" s="1"/>
  <c r="H138" i="51" s="1"/>
  <c r="C58" i="51"/>
  <c r="E162" i="52"/>
  <c r="D164" i="52"/>
  <c r="I166" i="52"/>
  <c r="J166" i="52" s="1"/>
  <c r="F52" i="6" s="1"/>
  <c r="J164" i="52"/>
  <c r="J111" i="51" l="1"/>
  <c r="F76" i="51"/>
  <c r="J76" i="51"/>
  <c r="K76" i="51" s="1"/>
  <c r="H76" i="51"/>
  <c r="I76" i="51" s="1"/>
  <c r="E111" i="51" s="1"/>
  <c r="F140" i="51"/>
  <c r="G140" i="51" s="1"/>
  <c r="H140" i="51" s="1"/>
  <c r="C94" i="51"/>
  <c r="E94" i="51" s="1"/>
  <c r="D58" i="51"/>
  <c r="C145" i="51" s="1"/>
  <c r="F145" i="51" s="1"/>
  <c r="G145" i="51" s="1"/>
  <c r="H145" i="51" s="1"/>
  <c r="C127" i="51"/>
  <c r="K127" i="51" s="1"/>
  <c r="H75" i="51"/>
  <c r="I75" i="51" s="1"/>
  <c r="E110" i="51" s="1"/>
  <c r="F139" i="51"/>
  <c r="G139" i="51" s="1"/>
  <c r="H139" i="51" s="1"/>
  <c r="J110" i="51"/>
  <c r="F75" i="51"/>
  <c r="J75" i="51"/>
  <c r="K75" i="51" s="1"/>
  <c r="D166" i="52"/>
  <c r="E166" i="52" s="1"/>
  <c r="F27" i="6" s="1"/>
  <c r="E164" i="52"/>
  <c r="E58" i="51" l="1"/>
  <c r="F58" i="51" l="1"/>
  <c r="F59" i="51"/>
  <c r="G59" i="51" l="1"/>
  <c r="C114" i="51"/>
  <c r="I114" i="51" s="1"/>
  <c r="C144" i="51"/>
  <c r="D144" i="51" s="1"/>
  <c r="E79" i="51"/>
  <c r="G58" i="51"/>
  <c r="C113" i="51"/>
  <c r="C143" i="51"/>
  <c r="D143" i="51" s="1"/>
  <c r="C142" i="51"/>
  <c r="C62" i="51"/>
  <c r="E78" i="51"/>
  <c r="C128" i="51" l="1"/>
  <c r="K128" i="51" s="1"/>
  <c r="F63" i="51"/>
  <c r="F62" i="51"/>
  <c r="C146" i="51" s="1"/>
  <c r="D62" i="51"/>
  <c r="C95" i="51"/>
  <c r="E95" i="51" s="1"/>
  <c r="H78" i="51"/>
  <c r="I78" i="51" s="1"/>
  <c r="E113" i="51" s="1"/>
  <c r="F143" i="51"/>
  <c r="G143" i="51" s="1"/>
  <c r="H143" i="51" s="1"/>
  <c r="F78" i="51"/>
  <c r="J78" i="51"/>
  <c r="K78" i="51" s="1"/>
  <c r="J113" i="51"/>
  <c r="D142" i="51"/>
  <c r="H142" i="51"/>
  <c r="I113" i="51"/>
  <c r="N113" i="51"/>
  <c r="F79" i="51"/>
  <c r="F144" i="51"/>
  <c r="G144" i="51" s="1"/>
  <c r="H144" i="51" s="1"/>
  <c r="J79" i="51"/>
  <c r="K79" i="51" s="1"/>
  <c r="J114" i="51"/>
  <c r="H79" i="51"/>
  <c r="I79" i="51" s="1"/>
  <c r="E114" i="51" s="1"/>
  <c r="D146" i="51" l="1"/>
  <c r="H146" i="51"/>
  <c r="G63" i="51"/>
  <c r="C117" i="51"/>
  <c r="I117" i="51" s="1"/>
  <c r="E82" i="51"/>
  <c r="C148" i="51"/>
  <c r="D148" i="51" s="1"/>
  <c r="C149" i="51"/>
  <c r="F149" i="51" s="1"/>
  <c r="G149" i="51" s="1"/>
  <c r="H149" i="51" s="1"/>
  <c r="C66" i="51"/>
  <c r="N121" i="51"/>
  <c r="O113" i="51"/>
  <c r="G62" i="51"/>
  <c r="C116" i="51"/>
  <c r="I116" i="51" s="1"/>
  <c r="C147" i="51"/>
  <c r="D147" i="51" s="1"/>
  <c r="E81" i="51"/>
  <c r="E62" i="51"/>
  <c r="I209" i="51" l="1"/>
  <c r="J209" i="51" s="1"/>
  <c r="D209" i="51"/>
  <c r="E209" i="51" s="1"/>
  <c r="F148" i="51"/>
  <c r="G148" i="51" s="1"/>
  <c r="H148" i="51" s="1"/>
  <c r="F82" i="51"/>
  <c r="H82" i="51"/>
  <c r="I82" i="51" s="1"/>
  <c r="E117" i="51" s="1"/>
  <c r="J82" i="51"/>
  <c r="K82" i="51" s="1"/>
  <c r="J117" i="51"/>
  <c r="F147" i="51"/>
  <c r="G147" i="51" s="1"/>
  <c r="H147" i="51" s="1"/>
  <c r="J81" i="51"/>
  <c r="K81" i="51" s="1"/>
  <c r="F81" i="51"/>
  <c r="J116" i="51"/>
  <c r="H81" i="51"/>
  <c r="I81" i="51" s="1"/>
  <c r="E116" i="51" s="1"/>
  <c r="C129" i="51"/>
  <c r="C96" i="51"/>
  <c r="F66" i="51"/>
  <c r="D66" i="51"/>
  <c r="C153" i="51" s="1"/>
  <c r="F153" i="51" s="1"/>
  <c r="G153" i="51" s="1"/>
  <c r="H153" i="51" s="1"/>
  <c r="F67" i="51"/>
  <c r="D21" i="6"/>
  <c r="D46" i="6"/>
  <c r="G67" i="51" l="1"/>
  <c r="E85" i="51"/>
  <c r="C120" i="51"/>
  <c r="I120" i="51" s="1"/>
  <c r="C152" i="51"/>
  <c r="D152" i="51" s="1"/>
  <c r="E84" i="51"/>
  <c r="C119" i="51"/>
  <c r="I119" i="51" s="1"/>
  <c r="I121" i="51" s="1"/>
  <c r="C151" i="51"/>
  <c r="D151" i="51" s="1"/>
  <c r="G66" i="51"/>
  <c r="C150" i="51"/>
  <c r="E66" i="51"/>
  <c r="C97" i="51"/>
  <c r="E96" i="51"/>
  <c r="E97" i="51" s="1"/>
  <c r="D97" i="51" s="1"/>
  <c r="K129" i="51"/>
  <c r="G130" i="51"/>
  <c r="F130" i="51"/>
  <c r="D130" i="51"/>
  <c r="C130" i="51"/>
  <c r="J130" i="51"/>
  <c r="H130" i="51"/>
  <c r="E130" i="51"/>
  <c r="I130" i="51"/>
  <c r="D150" i="51" l="1"/>
  <c r="H150" i="51"/>
  <c r="C154" i="51"/>
  <c r="K130" i="51"/>
  <c r="C18" i="51"/>
  <c r="C17" i="51"/>
  <c r="D222" i="51"/>
  <c r="D29" i="6" s="1"/>
  <c r="H84" i="51"/>
  <c r="I84" i="51" s="1"/>
  <c r="F84" i="51"/>
  <c r="J84" i="51"/>
  <c r="F151" i="51"/>
  <c r="G151" i="51" s="1"/>
  <c r="H151" i="51" s="1"/>
  <c r="J119" i="51"/>
  <c r="F85" i="51"/>
  <c r="J120" i="51"/>
  <c r="H85" i="51"/>
  <c r="I85" i="51" s="1"/>
  <c r="E120" i="51" s="1"/>
  <c r="J85" i="51"/>
  <c r="K85" i="51" s="1"/>
  <c r="F152" i="51"/>
  <c r="G152" i="51" s="1"/>
  <c r="H152" i="51" s="1"/>
  <c r="E119" i="51" l="1"/>
  <c r="E121" i="51" s="1"/>
  <c r="I86" i="51"/>
  <c r="D210" i="51"/>
  <c r="I210" i="51"/>
  <c r="H154" i="51"/>
  <c r="J86" i="51"/>
  <c r="J88" i="51" s="1"/>
  <c r="K84" i="51"/>
  <c r="K86" i="51" s="1"/>
  <c r="K87" i="51" s="1"/>
  <c r="K88" i="51" s="1"/>
  <c r="C231" i="51" l="1"/>
  <c r="C233" i="51" s="1"/>
  <c r="C235" i="51" s="1"/>
  <c r="C237" i="51" s="1"/>
  <c r="C239" i="51" s="1"/>
  <c r="E18" i="51"/>
  <c r="D30" i="6" s="1"/>
  <c r="E17" i="51"/>
  <c r="J210" i="51"/>
  <c r="E210" i="51"/>
  <c r="D206" i="51"/>
  <c r="I206" i="51"/>
  <c r="D211" i="51"/>
  <c r="E211" i="51" s="1"/>
  <c r="I211" i="51"/>
  <c r="J211" i="51" s="1"/>
  <c r="D48" i="6" l="1"/>
  <c r="D23" i="6"/>
  <c r="E206" i="51"/>
  <c r="D22" i="6"/>
  <c r="D25" i="6" s="1"/>
  <c r="D47" i="6"/>
  <c r="D50" i="6" s="1"/>
  <c r="D213" i="51"/>
  <c r="E213" i="51" s="1"/>
  <c r="I215" i="51"/>
  <c r="J206" i="51"/>
  <c r="I213" i="51"/>
  <c r="J213" i="51" s="1"/>
  <c r="D215" i="51" l="1"/>
  <c r="D42" i="6"/>
  <c r="D51" i="6" s="1"/>
  <c r="D17" i="6"/>
  <c r="D26" i="6" s="1"/>
  <c r="J215" i="51"/>
  <c r="I217" i="51"/>
  <c r="J217" i="51" s="1"/>
  <c r="D52" i="6" s="1"/>
  <c r="D217" i="51" l="1"/>
  <c r="E217" i="51" s="1"/>
  <c r="E215" i="51"/>
  <c r="D27" i="6" l="1"/>
  <c r="S141" i="50"/>
  <c r="S142" i="50" l="1"/>
  <c r="S143" i="50" s="1"/>
  <c r="E147" i="50" s="1"/>
  <c r="H147" i="50" s="1"/>
  <c r="T141" i="50"/>
  <c r="T142" i="50" s="1"/>
  <c r="AP141" i="50"/>
  <c r="AP142" i="50" l="1"/>
  <c r="AP143" i="50" s="1"/>
  <c r="AB147" i="50" s="1"/>
  <c r="AE147" i="50" s="1"/>
  <c r="AQ141" i="50"/>
  <c r="AQ142" i="50" s="1"/>
  <c r="I147" i="50"/>
  <c r="I148" i="50" s="1"/>
  <c r="D161" i="50" s="1"/>
  <c r="H148" i="50"/>
  <c r="D162" i="50" l="1"/>
  <c r="E161" i="50"/>
  <c r="E24" i="6" s="1"/>
  <c r="E25" i="6" s="1"/>
  <c r="E26" i="6" s="1"/>
  <c r="AF147" i="50"/>
  <c r="AF148" i="50" s="1"/>
  <c r="I161" i="50" s="1"/>
  <c r="AE148" i="50"/>
  <c r="J161" i="50" l="1"/>
  <c r="E49" i="6" s="1"/>
  <c r="E50" i="6" s="1"/>
  <c r="E51" i="6" s="1"/>
  <c r="I162" i="50"/>
  <c r="D164" i="50"/>
  <c r="E162" i="50"/>
  <c r="D166" i="50" l="1"/>
  <c r="E166" i="50" s="1"/>
  <c r="E27" i="6" s="1"/>
  <c r="E164" i="50"/>
  <c r="I164" i="50"/>
  <c r="J162" i="50"/>
  <c r="J164" i="50" l="1"/>
  <c r="I166" i="50"/>
  <c r="J166" i="50" s="1"/>
  <c r="E52" i="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Maree Bowen</author>
  </authors>
  <commentList>
    <comment ref="J286" authorId="0" shapeId="0" xr:uid="{00000000-0006-0000-0500-000001000000}">
      <text>
        <r>
          <rPr>
            <b/>
            <sz val="8"/>
            <color indexed="81"/>
            <rFont val="Tahoma"/>
            <family val="2"/>
          </rPr>
          <t>Maree Bowen:</t>
        </r>
        <r>
          <rPr>
            <sz val="8"/>
            <color indexed="81"/>
            <rFont val="Tahoma"/>
            <family val="2"/>
          </rPr>
          <t xml:space="preserve">
</t>
        </r>
        <r>
          <rPr>
            <sz val="12"/>
            <color indexed="81"/>
            <rFont val="Tahoma"/>
            <family val="2"/>
          </rPr>
          <t>changed from 5.00 to 3.50 as per Stuart on 30/08/13</t>
        </r>
      </text>
    </comment>
    <comment ref="J317" authorId="0" shapeId="0" xr:uid="{00000000-0006-0000-0500-000002000000}">
      <text>
        <r>
          <rPr>
            <b/>
            <sz val="8"/>
            <color indexed="81"/>
            <rFont val="Tahoma"/>
            <family val="2"/>
          </rPr>
          <t>Maree Bowen:</t>
        </r>
        <r>
          <rPr>
            <sz val="8"/>
            <color indexed="81"/>
            <rFont val="Tahoma"/>
            <family val="2"/>
          </rPr>
          <t xml:space="preserve">
</t>
        </r>
        <r>
          <rPr>
            <sz val="12"/>
            <color indexed="81"/>
            <rFont val="Tahoma"/>
            <family val="2"/>
          </rPr>
          <t>Added in on 30/08/13 as per stuart</t>
        </r>
      </text>
    </comment>
  </commentList>
</comments>
</file>

<file path=xl/sharedStrings.xml><?xml version="1.0" encoding="utf-8"?>
<sst xmlns="http://schemas.openxmlformats.org/spreadsheetml/2006/main" count="5182" uniqueCount="1031">
  <si>
    <t>Contract (plant)</t>
  </si>
  <si>
    <t>Plant Sugarcane (contract)</t>
  </si>
  <si>
    <t>Theodore to Kingaroy (peanuts)</t>
  </si>
  <si>
    <t>Farm to Depot</t>
  </si>
  <si>
    <t>Cotton cartage</t>
  </si>
  <si>
    <t>Rail (Emerald to Gladstone)</t>
  </si>
  <si>
    <t>Navy beans Freight Rebate (from Emerald)</t>
  </si>
  <si>
    <t>Navy beans Freight Rebate (from Biloela)</t>
  </si>
  <si>
    <t>Contract (drying)</t>
  </si>
  <si>
    <t>/t</t>
  </si>
  <si>
    <t>Navy bean</t>
  </si>
  <si>
    <t>Peanuts (dry) 14%</t>
  </si>
  <si>
    <t>Peanuts (med) 18%</t>
  </si>
  <si>
    <t>Peanuts (wet) 25%</t>
  </si>
  <si>
    <t>thidiazuron + diuron</t>
  </si>
  <si>
    <t>120 g/L + 60 g/L</t>
  </si>
  <si>
    <t>/kg</t>
  </si>
  <si>
    <t>Salt Defoliant</t>
  </si>
  <si>
    <t>Big N</t>
  </si>
  <si>
    <t>82N</t>
  </si>
  <si>
    <t>CK 700</t>
  </si>
  <si>
    <t>32.3N;5.1P;18.9S</t>
  </si>
  <si>
    <t>CK1</t>
  </si>
  <si>
    <t>14.6P;14.5K;1S;10.6Ca</t>
  </si>
  <si>
    <t>CK600 (s)</t>
  </si>
  <si>
    <t>17.9N;5.1P;18.9S</t>
  </si>
  <si>
    <t>18N;20P</t>
  </si>
  <si>
    <t>bulk $528/ton</t>
  </si>
  <si>
    <t>20.2N;24S</t>
  </si>
  <si>
    <t>Granulock (Starter Z)</t>
  </si>
  <si>
    <t>10.5N;19.5P;2.2S</t>
  </si>
  <si>
    <t>14.5S;18.5Ca</t>
  </si>
  <si>
    <t>Lime</t>
  </si>
  <si>
    <t>Ca</t>
  </si>
  <si>
    <t>MAP (Starterphos)</t>
  </si>
  <si>
    <t>10N;21.9P;1.5S</t>
  </si>
  <si>
    <t>Muriate of Potash (MOP)</t>
  </si>
  <si>
    <t>50K</t>
  </si>
  <si>
    <t>34N</t>
  </si>
  <si>
    <t>Nitram &amp; Sulphur</t>
  </si>
  <si>
    <t>Potassium Nitrate</t>
  </si>
  <si>
    <t>13N;38.3K</t>
  </si>
  <si>
    <t>Solubor</t>
  </si>
  <si>
    <t>20.5B</t>
  </si>
  <si>
    <t>Starter Z</t>
  </si>
  <si>
    <t>Starterphos</t>
  </si>
  <si>
    <t>41K;18S</t>
  </si>
  <si>
    <t>Supazinc</t>
  </si>
  <si>
    <t>7.5Zn</t>
  </si>
  <si>
    <t>/litre</t>
  </si>
  <si>
    <t>Superphosphate</t>
  </si>
  <si>
    <t>8.8P;11S;20Ca</t>
  </si>
  <si>
    <t xml:space="preserve">Tech Feed </t>
  </si>
  <si>
    <t>46N</t>
  </si>
  <si>
    <t>Zinc Sulphate monohydrate</t>
  </si>
  <si>
    <t>35Zn;17.2S</t>
  </si>
  <si>
    <t>Alto 100SL</t>
  </si>
  <si>
    <t>cyproconazole</t>
  </si>
  <si>
    <t>100 g/L</t>
  </si>
  <si>
    <t>Bravo</t>
  </si>
  <si>
    <t>chlorothalonil</t>
  </si>
  <si>
    <t>Confidor</t>
  </si>
  <si>
    <t>imidacloprid</t>
  </si>
  <si>
    <t xml:space="preserve">Dithane </t>
  </si>
  <si>
    <t>mancozeb</t>
  </si>
  <si>
    <t>750 g/kg</t>
  </si>
  <si>
    <t>Elect 720 (chlorothalonil)</t>
  </si>
  <si>
    <t>720 g/L</t>
  </si>
  <si>
    <t>Falcon</t>
  </si>
  <si>
    <t>butroxydim (p)</t>
  </si>
  <si>
    <t>Folicur 430 SC</t>
  </si>
  <si>
    <t>tebuconazole</t>
  </si>
  <si>
    <t>430 g/L</t>
  </si>
  <si>
    <t>Fortress 500</t>
  </si>
  <si>
    <t>procymidone</t>
  </si>
  <si>
    <t>500 g/L</t>
  </si>
  <si>
    <t>Rovral Aquaflo</t>
  </si>
  <si>
    <t>iprodione</t>
  </si>
  <si>
    <t>250 g/L</t>
  </si>
  <si>
    <t>Score</t>
  </si>
  <si>
    <t>difenoconazole</t>
  </si>
  <si>
    <t>Tribase Blue</t>
  </si>
  <si>
    <t>??</t>
  </si>
  <si>
    <t>Wallibi</t>
  </si>
  <si>
    <t>Bore track</t>
  </si>
  <si>
    <t>Caltrack</t>
  </si>
  <si>
    <t>Calcium solution</t>
  </si>
  <si>
    <t>zinktrack</t>
  </si>
  <si>
    <t>Zink solution</t>
  </si>
  <si>
    <t>Hydromag</t>
  </si>
  <si>
    <t>Magnesium solution</t>
  </si>
  <si>
    <t>Hydrophos</t>
  </si>
  <si>
    <t>Phosphor solution</t>
  </si>
  <si>
    <t>Achieve</t>
  </si>
  <si>
    <t>metsulfuron</t>
  </si>
  <si>
    <t>600 g/kg</t>
  </si>
  <si>
    <t>/gram</t>
  </si>
  <si>
    <t>Amicide 500</t>
  </si>
  <si>
    <t>2,4-D</t>
  </si>
  <si>
    <t>Avadex Xtra</t>
  </si>
  <si>
    <t>tri-allate</t>
  </si>
  <si>
    <t>bentazone</t>
  </si>
  <si>
    <t>480 g/L</t>
  </si>
  <si>
    <t>acifluorfen</t>
  </si>
  <si>
    <t>224 g/L</t>
  </si>
  <si>
    <t>Barrick</t>
  </si>
  <si>
    <t>Broadstrike</t>
  </si>
  <si>
    <t>flumetsulam</t>
  </si>
  <si>
    <t>800 g/kg</t>
  </si>
  <si>
    <t>Bromicide MA</t>
  </si>
  <si>
    <t>bromicide + MCPA</t>
  </si>
  <si>
    <t>200 g/L + 200 g/L</t>
  </si>
  <si>
    <t>2,4-DB</t>
  </si>
  <si>
    <t>flurometuron + prometryn</t>
  </si>
  <si>
    <t>250 g/L + 250 g/L</t>
  </si>
  <si>
    <t>Cotoran</t>
  </si>
  <si>
    <t>flurometuron</t>
  </si>
  <si>
    <t>diuron</t>
  </si>
  <si>
    <t>Dual Gold</t>
  </si>
  <si>
    <t>metolachlor</t>
  </si>
  <si>
    <t>960 g/L</t>
  </si>
  <si>
    <t>Eclipse</t>
  </si>
  <si>
    <t>metosulam</t>
  </si>
  <si>
    <t>714 g/kg</t>
  </si>
  <si>
    <t>EPTC</t>
  </si>
  <si>
    <t>Flame</t>
  </si>
  <si>
    <t>imazapic</t>
  </si>
  <si>
    <t>Fusilade</t>
  </si>
  <si>
    <t>fluazifop-p</t>
  </si>
  <si>
    <t>212 g/L</t>
  </si>
  <si>
    <t>Garlon 600</t>
  </si>
  <si>
    <t>triclopyr</t>
  </si>
  <si>
    <t>600 g/L</t>
  </si>
  <si>
    <t>Gesagard 500SC</t>
  </si>
  <si>
    <t>prometryn</t>
  </si>
  <si>
    <t>Gesaprim</t>
  </si>
  <si>
    <t>atrazine</t>
  </si>
  <si>
    <t>chlorsulfuron</t>
  </si>
  <si>
    <t>Glyphosate 450 CT</t>
  </si>
  <si>
    <t>glyphosate IPA salt</t>
  </si>
  <si>
    <t>450 g/L</t>
  </si>
  <si>
    <t>Gramoxone 250</t>
  </si>
  <si>
    <t>paraquat</t>
  </si>
  <si>
    <t>Harmony M</t>
  </si>
  <si>
    <t>thifensulfuron-methyl + metsulfuron-methyl</t>
  </si>
  <si>
    <t>682 g/kg + 68 g/kg</t>
  </si>
  <si>
    <t>Jaguar</t>
  </si>
  <si>
    <t>bromoxynil + diflufenican</t>
  </si>
  <si>
    <t>250 g/L + 25 g/L</t>
  </si>
  <si>
    <t>Kamba 500</t>
  </si>
  <si>
    <t>Dicamba</t>
  </si>
  <si>
    <t>Kamba M</t>
  </si>
  <si>
    <t>MCPA + dicamba</t>
  </si>
  <si>
    <t>340 g/L + 80 g/L</t>
  </si>
  <si>
    <t>MCPA ester</t>
  </si>
  <si>
    <t>Primextra Gold</t>
  </si>
  <si>
    <t>metolachlor + atrazine</t>
  </si>
  <si>
    <t>290 g/L + 370 g/L</t>
  </si>
  <si>
    <t>Promo-mix</t>
  </si>
  <si>
    <t>fluometuron + prometryn</t>
  </si>
  <si>
    <t>diquat</t>
  </si>
  <si>
    <t>200 g/L</t>
  </si>
  <si>
    <t>Roundup CT</t>
  </si>
  <si>
    <t>Select</t>
  </si>
  <si>
    <t>clethodim</t>
  </si>
  <si>
    <t>240 g/L</t>
  </si>
  <si>
    <t>Sencor</t>
  </si>
  <si>
    <t>metribuzin</t>
  </si>
  <si>
    <t>Sertin Plus</t>
  </si>
  <si>
    <t>sethoxydim</t>
  </si>
  <si>
    <t>Simazine 900DF</t>
  </si>
  <si>
    <t>simazine</t>
  </si>
  <si>
    <t>900 g/kg</t>
  </si>
  <si>
    <t>Simazine Flowable</t>
  </si>
  <si>
    <t>imazethapyr</t>
  </si>
  <si>
    <t>700 g/kg</t>
  </si>
  <si>
    <t>Sprayseed</t>
  </si>
  <si>
    <t>paraquat + diquat</t>
  </si>
  <si>
    <t>135 g/L + 115 g/L</t>
  </si>
  <si>
    <t>fluroxypyr</t>
  </si>
  <si>
    <t>Stomp XTRA</t>
  </si>
  <si>
    <t>pendimethalin</t>
  </si>
  <si>
    <t>Striker</t>
  </si>
  <si>
    <t>Surpass 300</t>
  </si>
  <si>
    <t>2,4-D IPA salt</t>
  </si>
  <si>
    <t>Tigrex</t>
  </si>
  <si>
    <t>MCPA + diflufenican</t>
  </si>
  <si>
    <t>Topik</t>
  </si>
  <si>
    <t>clodinafop + cloquintocet</t>
  </si>
  <si>
    <t>240 g/L + 60 g/L</t>
  </si>
  <si>
    <t>MCPA + picloram</t>
  </si>
  <si>
    <t>420 g/L + 26 g/L</t>
  </si>
  <si>
    <t>2,4-D + picloram</t>
  </si>
  <si>
    <t>300 g/L + 75 g/L</t>
  </si>
  <si>
    <t>Touchdown</t>
  </si>
  <si>
    <t>glyphosate-trimesium</t>
  </si>
  <si>
    <t>Trifluralin 480</t>
  </si>
  <si>
    <t>trifluralin</t>
  </si>
  <si>
    <t>Verdict 520</t>
  </si>
  <si>
    <t>haloxyfop</t>
  </si>
  <si>
    <t>520 g/L</t>
  </si>
  <si>
    <t>Wildcat</t>
  </si>
  <si>
    <t>S-metolachlor</t>
  </si>
  <si>
    <t>Triflur 480</t>
  </si>
  <si>
    <t>Express</t>
  </si>
  <si>
    <t>Absorba-cide</t>
  </si>
  <si>
    <t>amorphous silica</t>
  </si>
  <si>
    <t>pirimiphos-methyl</t>
  </si>
  <si>
    <t>900 g/L</t>
  </si>
  <si>
    <t>Amino-feed</t>
  </si>
  <si>
    <t>Amitraz EC</t>
  </si>
  <si>
    <t>amitraz</t>
  </si>
  <si>
    <t>200g/L</t>
  </si>
  <si>
    <t>Counter granuals</t>
  </si>
  <si>
    <t>terbufos</t>
  </si>
  <si>
    <t>150 g/kg</t>
  </si>
  <si>
    <t>Curacron Pro</t>
  </si>
  <si>
    <t>Decis Options</t>
  </si>
  <si>
    <t>deltamethrin</t>
  </si>
  <si>
    <t>27.5 g/L</t>
  </si>
  <si>
    <t>Dimethoate</t>
  </si>
  <si>
    <t>dimethoate</t>
  </si>
  <si>
    <t>400 g/L</t>
  </si>
  <si>
    <t>Bt</t>
  </si>
  <si>
    <t>Strain HD-1</t>
  </si>
  <si>
    <t>Dominex 100 EC</t>
  </si>
  <si>
    <t>alpha cypermethrin</t>
  </si>
  <si>
    <t>Dominex Duo</t>
  </si>
  <si>
    <t>Elect 760</t>
  </si>
  <si>
    <t>Emamectin</t>
  </si>
  <si>
    <t>Endosulfan EC</t>
  </si>
  <si>
    <t>endosulfan</t>
  </si>
  <si>
    <t>375 g/L</t>
  </si>
  <si>
    <t>Ethion + Zeta-cypermethrin</t>
  </si>
  <si>
    <t>Fastac Duo</t>
  </si>
  <si>
    <t>Fenitrothion 1000</t>
  </si>
  <si>
    <t>fenitrothion</t>
  </si>
  <si>
    <t>1000 g/L</t>
  </si>
  <si>
    <t>L Marlin</t>
  </si>
  <si>
    <t>methomyl</t>
  </si>
  <si>
    <t>225 g/L</t>
  </si>
  <si>
    <t>thiodicarb</t>
  </si>
  <si>
    <t>Larvin LV</t>
  </si>
  <si>
    <t>Lorsban 500 EC</t>
  </si>
  <si>
    <t>chlorpyrifos</t>
  </si>
  <si>
    <t xml:space="preserve"> % of forage area treated</t>
  </si>
  <si>
    <t xml:space="preserve">Forage assessment model - gross margin </t>
  </si>
  <si>
    <t>GM7</t>
  </si>
  <si>
    <t>GM8</t>
  </si>
  <si>
    <t>GM9</t>
  </si>
  <si>
    <t>GM10</t>
  </si>
  <si>
    <t>Gross margin 11</t>
  </si>
  <si>
    <t>GM11</t>
  </si>
  <si>
    <t>Variable costs only - FORM plus labour used to operate machines</t>
  </si>
  <si>
    <t>Contract Rates including labour used to operate machines</t>
  </si>
  <si>
    <t xml:space="preserve">Pasture assessment model - gross margin </t>
  </si>
  <si>
    <t>Lorsban 750WG</t>
  </si>
  <si>
    <t>NPV Gemstar/Vivus</t>
  </si>
  <si>
    <t>NPV</t>
  </si>
  <si>
    <t>Nitofol</t>
  </si>
  <si>
    <t>methamidophos</t>
  </si>
  <si>
    <t>580 g/L</t>
  </si>
  <si>
    <t>piperonyl butoxide</t>
  </si>
  <si>
    <t>800 g/L</t>
  </si>
  <si>
    <t>Phostoxin tablets</t>
  </si>
  <si>
    <t>aluminium phosphide</t>
  </si>
  <si>
    <t>560 g/kg</t>
  </si>
  <si>
    <t>/tabled</t>
  </si>
  <si>
    <t>Pounce</t>
  </si>
  <si>
    <t>permethrin</t>
  </si>
  <si>
    <t>Predator 300</t>
  </si>
  <si>
    <t>300 g/L</t>
  </si>
  <si>
    <t>Regent</t>
  </si>
  <si>
    <t>fipronil</t>
  </si>
  <si>
    <t>Sabre EC</t>
  </si>
  <si>
    <t>Steward</t>
  </si>
  <si>
    <t>indoxacarb</t>
  </si>
  <si>
    <t>Talstar EC</t>
  </si>
  <si>
    <t>bifenthrin</t>
  </si>
  <si>
    <t>Thidiazuron</t>
  </si>
  <si>
    <t>Thiodan</t>
  </si>
  <si>
    <t>Tracer</t>
  </si>
  <si>
    <t>spinosad</t>
  </si>
  <si>
    <t>480g/L</t>
  </si>
  <si>
    <t>Suscon Blue</t>
  </si>
  <si>
    <t>Barley seed</t>
  </si>
  <si>
    <t>Tallon</t>
  </si>
  <si>
    <t>Chickpea seed</t>
  </si>
  <si>
    <t xml:space="preserve">Grass seed </t>
  </si>
  <si>
    <t>Lucerne</t>
  </si>
  <si>
    <t>sequel</t>
  </si>
  <si>
    <t>Maize seed</t>
  </si>
  <si>
    <t>P3237</t>
  </si>
  <si>
    <t>White frend</t>
  </si>
  <si>
    <t>Emerald</t>
  </si>
  <si>
    <t>Spearfeld</t>
  </si>
  <si>
    <t>Peanut</t>
  </si>
  <si>
    <t>Streeton (20-23 weeks)</t>
  </si>
  <si>
    <t>1300seeds/kg</t>
  </si>
  <si>
    <t>Conder (17-19 weeks)</t>
  </si>
  <si>
    <t>800 seeds/kg</t>
  </si>
  <si>
    <t>VB97 (20-23 weeks)</t>
  </si>
  <si>
    <t>800seeds/kg</t>
  </si>
  <si>
    <t>Potato seed large</t>
  </si>
  <si>
    <t>$600/ton + $200/ton freight</t>
  </si>
  <si>
    <t>Potato seed round</t>
  </si>
  <si>
    <t>$700/ton + $200/ton freight</t>
  </si>
  <si>
    <t>Sorghum seed</t>
  </si>
  <si>
    <t>Buster</t>
  </si>
  <si>
    <t>Soybean seed</t>
  </si>
  <si>
    <t>Soya791</t>
  </si>
  <si>
    <t>Sunflower seed</t>
  </si>
  <si>
    <t>Sunolei 04</t>
  </si>
  <si>
    <t>Wheat seed</t>
  </si>
  <si>
    <t>Cane seed</t>
  </si>
  <si>
    <t>Spray Additive</t>
  </si>
  <si>
    <t>Agridex</t>
  </si>
  <si>
    <t>paraffinic petroleum oil</t>
  </si>
  <si>
    <t>730 g/L</t>
  </si>
  <si>
    <t>BS1000</t>
  </si>
  <si>
    <t>alcohol alkoxylate</t>
  </si>
  <si>
    <t>Hasten crop oil</t>
  </si>
  <si>
    <t>fatty acid esters</t>
  </si>
  <si>
    <t>704 g/L</t>
  </si>
  <si>
    <t>LI-700</t>
  </si>
  <si>
    <t>propionic acid</t>
  </si>
  <si>
    <t>350 g/L</t>
  </si>
  <si>
    <t>Liase</t>
  </si>
  <si>
    <t>ammonuim sulfate</t>
  </si>
  <si>
    <t>417 g/L</t>
  </si>
  <si>
    <t>Agral 600</t>
  </si>
  <si>
    <t>Non ionic surfactant</t>
  </si>
  <si>
    <t>Ulvapron</t>
  </si>
  <si>
    <t>855 g/L</t>
  </si>
  <si>
    <t>Uptake Oil</t>
  </si>
  <si>
    <t>582 g/L</t>
  </si>
  <si>
    <t>Supercharge (wettingagent)</t>
  </si>
  <si>
    <t>Other</t>
  </si>
  <si>
    <t>/pack</t>
  </si>
  <si>
    <t>Potato bags (50kg)</t>
  </si>
  <si>
    <t>Potato bags (1000kg)</t>
  </si>
  <si>
    <t>Irrigation water</t>
  </si>
  <si>
    <t>c/kWh</t>
  </si>
  <si>
    <t>Electricity</t>
  </si>
  <si>
    <t>tariff 66 (Irrigation)</t>
  </si>
  <si>
    <t>Potato cutting (per ton)</t>
  </si>
  <si>
    <t xml:space="preserve">Fuel price ($/Litre net of rebates) : </t>
  </si>
  <si>
    <t>Insurance Cost $ per $1000 insured</t>
  </si>
  <si>
    <t>Own Header</t>
  </si>
  <si>
    <t>Cotton Picker</t>
  </si>
  <si>
    <t>Tractor Number for matching with implement</t>
  </si>
  <si>
    <t>Fuel use rate 1</t>
  </si>
  <si>
    <t>Fuel use rate 2</t>
  </si>
  <si>
    <t>Fuel use rate 3</t>
  </si>
  <si>
    <t>Replacement Price($)</t>
  </si>
  <si>
    <t>FORM per hour</t>
  </si>
  <si>
    <t>Tractor No</t>
  </si>
  <si>
    <t>Total Cost (including tractor)</t>
  </si>
  <si>
    <t>Casual Labour</t>
  </si>
  <si>
    <t>Kept wheat seed</t>
  </si>
  <si>
    <t>Ester 24D</t>
  </si>
  <si>
    <t>Amicide 625</t>
  </si>
  <si>
    <t>Hotwire</t>
  </si>
  <si>
    <t>P Pickle  T</t>
  </si>
  <si>
    <t>Cadence</t>
  </si>
  <si>
    <t>Simazine 600</t>
  </si>
  <si>
    <t>Grazon</t>
  </si>
  <si>
    <t>Oats seed</t>
  </si>
  <si>
    <t>Mungbean scouting</t>
  </si>
  <si>
    <t>Balance</t>
  </si>
  <si>
    <t>isoxaflutole</t>
  </si>
  <si>
    <t>750 k/kg</t>
  </si>
  <si>
    <t>per kg</t>
  </si>
  <si>
    <t>Area of paddock planted to forage</t>
  </si>
  <si>
    <t>Number transported</t>
  </si>
  <si>
    <t>Transport cost per head calculator</t>
  </si>
  <si>
    <t>( use the tables to the right to calculate the price going into the paddock if the cattle are already owned)</t>
  </si>
  <si>
    <t>Date the mob enters the paddock</t>
  </si>
  <si>
    <t>Gain per head (kg)</t>
  </si>
  <si>
    <t>Gain per day (kg /head /day)</t>
  </si>
  <si>
    <t>Calculated Loss percentage</t>
  </si>
  <si>
    <t>Net beef produced</t>
  </si>
  <si>
    <t>kg live</t>
  </si>
  <si>
    <t>kg dressed</t>
  </si>
  <si>
    <t>Trucking distance inwards (Km)</t>
  </si>
  <si>
    <t>Rate per deck</t>
  </si>
  <si>
    <t>Total freight in</t>
  </si>
  <si>
    <t>Cost per head</t>
  </si>
  <si>
    <t>Total induction costs</t>
  </si>
  <si>
    <t>Travel costs incurred in finding the mob ($ per mob)</t>
  </si>
  <si>
    <t>Costs associated with purchasing steers (complete if stock are specifically purchased to graze the forage)</t>
  </si>
  <si>
    <t xml:space="preserve">Purchase price ($ per kg) </t>
  </si>
  <si>
    <t>Livestock health and other costs incurred by stock grazing the forage ($ per head)</t>
  </si>
  <si>
    <t>Machinery Contract rate</t>
  </si>
  <si>
    <t xml:space="preserve">The expected life of the forage and the opportunity cost of development capital are used to calculate the amortised cost of the forage development phase. </t>
  </si>
  <si>
    <t xml:space="preserve">Leucaena inoculum </t>
  </si>
  <si>
    <t>Opportunity cost of livestock capital calculator</t>
  </si>
  <si>
    <t>Forage variable cost calculator (use to identify growing and maintenance costs of forage)</t>
  </si>
  <si>
    <t>(use treatments sheet to identify costs)</t>
  </si>
  <si>
    <t>Freight In, purchase costs</t>
  </si>
  <si>
    <t>Owner rate</t>
  </si>
  <si>
    <t>Livestock weight and value leaving the paddock</t>
  </si>
  <si>
    <t>The gross margins in this workbook are calculated using two methods.</t>
  </si>
  <si>
    <t>(This format should be used to assess the likely average gross margin of a grass pasture. It is a different format to that used to assess an annual forage)</t>
  </si>
  <si>
    <t>Butterfly pea seed</t>
  </si>
  <si>
    <t xml:space="preserve"> /kg</t>
  </si>
  <si>
    <t>Rhodes &amp; Buffel</t>
  </si>
  <si>
    <t>High clearance spray rig</t>
  </si>
  <si>
    <t xml:space="preserve">Spinnaker </t>
  </si>
  <si>
    <t>/kilo</t>
  </si>
  <si>
    <t>Cosmos seed dressing</t>
  </si>
  <si>
    <t>Irrigation</t>
  </si>
  <si>
    <t>Temik</t>
  </si>
  <si>
    <t>Cotton (Bollgaurd II)</t>
  </si>
  <si>
    <t>Pigeon pea seed</t>
  </si>
  <si>
    <t>DC tron</t>
  </si>
  <si>
    <t>Cotton quick</t>
  </si>
  <si>
    <t xml:space="preserve">Liquifert </t>
  </si>
  <si>
    <t>Lanate</t>
  </si>
  <si>
    <t>Irrigation water costs</t>
  </si>
  <si>
    <t>Bollguard II licence fee</t>
  </si>
  <si>
    <t>Cotton insurance</t>
  </si>
  <si>
    <t>Pix</t>
  </si>
  <si>
    <t>12 metres</t>
  </si>
  <si>
    <t>bulk $1200/ton</t>
  </si>
  <si>
    <t>Gross margin 1</t>
  </si>
  <si>
    <t>Gross margin 2</t>
  </si>
  <si>
    <t>Gross margin 3</t>
  </si>
  <si>
    <t>Gross margin 4</t>
  </si>
  <si>
    <t>Gross margin 5</t>
  </si>
  <si>
    <t>Gross margin 6</t>
  </si>
  <si>
    <t>Gross margin 7</t>
  </si>
  <si>
    <t>Gross margin 8</t>
  </si>
  <si>
    <t>Gross margin 9</t>
  </si>
  <si>
    <t>Gross margin 10</t>
  </si>
  <si>
    <t>Gross margin for</t>
  </si>
  <si>
    <t>77kw 2wd</t>
  </si>
  <si>
    <t>Linkage spray rig</t>
  </si>
  <si>
    <t>18m</t>
  </si>
  <si>
    <t xml:space="preserve">Tractor </t>
  </si>
  <si>
    <t>Tractor</t>
  </si>
  <si>
    <t>180 kw FWA</t>
  </si>
  <si>
    <t>No till seeder</t>
  </si>
  <si>
    <t>Gaucho 600 seed dressing</t>
  </si>
  <si>
    <t>Prosaro _ Hasten</t>
  </si>
  <si>
    <t>6 metres</t>
  </si>
  <si>
    <t>Prep</t>
  </si>
  <si>
    <t>Cotton (conventional)</t>
  </si>
  <si>
    <t>Diuron 900</t>
  </si>
  <si>
    <t>Clear start</t>
  </si>
  <si>
    <t>1.8N:22P:7.5K:1Zn</t>
  </si>
  <si>
    <t>Roundup Ready Plant shield</t>
  </si>
  <si>
    <t>690 g/kg</t>
  </si>
  <si>
    <t>Pigeon pea refuge</t>
  </si>
  <si>
    <t xml:space="preserve">Forage sorghum </t>
  </si>
  <si>
    <t>Some short term decisions involve the use of resources that have an effective life of more than one production period. For example, farming plant normally lasts for a number of years and can contribute to the production of many activities.</t>
  </si>
  <si>
    <t>Farming plant is normally costed in gross margins on the basis of the Fuel, Oil, Repairs and Maintenance (F.O.R.M.) used on a per hour basis in the production of the output. Note that the ownership costs of the plant are not included.</t>
  </si>
  <si>
    <t>For each tractor/implement or harvester combination in the enterprise or activity the following rule of thumb calculations of cost are made:</t>
  </si>
  <si>
    <t>These gross margins are to be used as a guide only and should be adjusted where necessary to better reflect the operation being assessed.</t>
  </si>
  <si>
    <t>It is strongly recommended that the gross margin budgets contained in this spreadsheet be used as a template ONLY and should be changed to take account of movements in commodity prices, changes in seasonal conditions and the individual characteristics of production systems</t>
  </si>
  <si>
    <t>These rules of thumb are sufficiently accurate to allow the inclusion of the relative FORM costs in a gross margin analysis.</t>
  </si>
  <si>
    <t>Name or Product</t>
  </si>
  <si>
    <t>Description or active ingredients</t>
  </si>
  <si>
    <t>Concentration</t>
  </si>
  <si>
    <t>Total price</t>
  </si>
  <si>
    <t>Unit</t>
  </si>
  <si>
    <t xml:space="preserve">$ per unit, kg or litre </t>
  </si>
  <si>
    <t xml:space="preserve">Date </t>
  </si>
  <si>
    <t>Source</t>
  </si>
  <si>
    <t>Cartage</t>
  </si>
  <si>
    <t>Package</t>
  </si>
  <si>
    <t>Downs to Toowoomba</t>
  </si>
  <si>
    <t>Downs to Newcastle</t>
  </si>
  <si>
    <t>Downs to Moree</t>
  </si>
  <si>
    <t>tonne</t>
  </si>
  <si>
    <t>km/module</t>
  </si>
  <si>
    <t>Cotton Pick-up fee</t>
  </si>
  <si>
    <t>module</t>
  </si>
  <si>
    <t>Rail (Macalister to Brisbane)</t>
  </si>
  <si>
    <t>Anhydrous ammonia applicator</t>
  </si>
  <si>
    <t>Peanut threshing</t>
  </si>
  <si>
    <t>Soil testing</t>
  </si>
  <si>
    <t>L</t>
  </si>
  <si>
    <t>Dropp Ultra</t>
  </si>
  <si>
    <t>CottonQuik</t>
  </si>
  <si>
    <t>ethephon+AMADS</t>
  </si>
  <si>
    <t>275 g/L + 873 g/L</t>
  </si>
  <si>
    <t>per kilo</t>
  </si>
  <si>
    <t>per tonne</t>
  </si>
  <si>
    <t>per hectare</t>
  </si>
  <si>
    <t>total</t>
  </si>
  <si>
    <t>Leucaena maintenance</t>
  </si>
  <si>
    <t>Average</t>
  </si>
  <si>
    <t>Head Per</t>
  </si>
  <si>
    <t>Liveweight</t>
  </si>
  <si>
    <t>12.2m deck</t>
  </si>
  <si>
    <t>Elders Gracemere Store Prices</t>
  </si>
  <si>
    <t>&lt;200</t>
  </si>
  <si>
    <t>201-300</t>
  </si>
  <si>
    <t>301-400</t>
  </si>
  <si>
    <t>401-500</t>
  </si>
  <si>
    <t>&gt;500</t>
  </si>
  <si>
    <t>Mean</t>
  </si>
  <si>
    <t>Median</t>
  </si>
  <si>
    <t>Max</t>
  </si>
  <si>
    <t>Min</t>
  </si>
  <si>
    <t xml:space="preserve">to </t>
  </si>
  <si>
    <t>cents per kilogram liveweight</t>
  </si>
  <si>
    <t>Dinmore Prices</t>
  </si>
  <si>
    <t>Grass Fed Jap Ox</t>
  </si>
  <si>
    <t>Grass Fed  Ox</t>
  </si>
  <si>
    <t>J</t>
  </si>
  <si>
    <t>I</t>
  </si>
  <si>
    <t>300-319</t>
  </si>
  <si>
    <t>240-259</t>
  </si>
  <si>
    <t>0-6</t>
  </si>
  <si>
    <t>0-4</t>
  </si>
  <si>
    <t>7-22</t>
  </si>
  <si>
    <t>Grade</t>
  </si>
  <si>
    <t>Wt (kg)</t>
  </si>
  <si>
    <t>Teeth</t>
  </si>
  <si>
    <t>Fat (mm)</t>
  </si>
  <si>
    <t>cents per kilogram dressed weight</t>
  </si>
  <si>
    <t>Gracemere</t>
  </si>
  <si>
    <t>Moura</t>
  </si>
  <si>
    <t>Belyando / Clermont</t>
  </si>
  <si>
    <t>Yard Fees</t>
  </si>
  <si>
    <t>Scale Cattle sold/ unsold</t>
  </si>
  <si>
    <t>Scale Cattle - Sold / Unsold - Bulls</t>
  </si>
  <si>
    <t>Scale Cattle - Sold / Unsold - Calves</t>
  </si>
  <si>
    <t>Non Scale Cattle - Sold / Unsold</t>
  </si>
  <si>
    <t>Stud Sale Cattle - Sold / Unsold</t>
  </si>
  <si>
    <t>Auction Sales</t>
  </si>
  <si>
    <t>Stud Sales</t>
  </si>
  <si>
    <t>Fat Cattle</t>
  </si>
  <si>
    <t>Store Cattle</t>
  </si>
  <si>
    <t>Combined Fat Store Sales</t>
  </si>
  <si>
    <t>Weighing Fees</t>
  </si>
  <si>
    <t xml:space="preserve">Weighing </t>
  </si>
  <si>
    <t>Weighing &lt;= 50 head</t>
  </si>
  <si>
    <t>Weighing &gt; 50 head</t>
  </si>
  <si>
    <t xml:space="preserve">Weighing / Scanning </t>
  </si>
  <si>
    <t>Weighing / Scanning / Dipping</t>
  </si>
  <si>
    <t xml:space="preserve">Special Weighs </t>
  </si>
  <si>
    <t xml:space="preserve"> (including NLIS database transfer)</t>
  </si>
  <si>
    <t>NLIS Replacement Tags Fee</t>
  </si>
  <si>
    <t>NLIS Replacement Tags replacing a Non Reading Tag</t>
  </si>
  <si>
    <t xml:space="preserve">NLIS Database Transfer Yard Dues </t>
  </si>
  <si>
    <t>Scanning</t>
  </si>
  <si>
    <t>Cattle</t>
  </si>
  <si>
    <t xml:space="preserve">Bulls </t>
  </si>
  <si>
    <t>Transferring NLIS Tags (paddock sales)</t>
  </si>
  <si>
    <t>Dipping Fees</t>
  </si>
  <si>
    <t>Cattle Single Dipping</t>
  </si>
  <si>
    <t xml:space="preserve">Bulls Single Dipping </t>
  </si>
  <si>
    <t>Cows and Calves Single Dip</t>
  </si>
  <si>
    <t>Cows and Calves Clearing Dip</t>
  </si>
  <si>
    <t>Cattle Clearing Dip</t>
  </si>
  <si>
    <t>Bulls Clearing Dip</t>
  </si>
  <si>
    <t>Paddock stocking rate (head per hectare)</t>
  </si>
  <si>
    <t>Paddock stocking rate (hectare per head)</t>
  </si>
  <si>
    <t>Selling costs</t>
  </si>
  <si>
    <t>Kilograms of beef purchased</t>
  </si>
  <si>
    <t>Loading / Unloading Fee</t>
  </si>
  <si>
    <t>per deck</t>
  </si>
  <si>
    <t>Loading / Unloading Rail Wagon</t>
  </si>
  <si>
    <t>Use of Vet/ Crush Facilities</t>
  </si>
  <si>
    <t>Disposal of Dead Beast</t>
  </si>
  <si>
    <t>Yard Reconstruction Levy (all stock)</t>
  </si>
  <si>
    <t>Sale by Visual Weigh</t>
  </si>
  <si>
    <t xml:space="preserve"> per 100 head</t>
  </si>
  <si>
    <t xml:space="preserve">Spelling Fees </t>
  </si>
  <si>
    <t xml:space="preserve">Without Feed per day </t>
  </si>
  <si>
    <t>With Feed per day</t>
  </si>
  <si>
    <t>Cleaning Fee per head</t>
  </si>
  <si>
    <t>Paddock per head per day</t>
  </si>
  <si>
    <t>Ex Sale Cattle per head</t>
  </si>
  <si>
    <t>Non Sale Cattle per head</t>
  </si>
  <si>
    <t>Cattle Sold at Private Yards</t>
  </si>
  <si>
    <t>Cattle Total (normal sale, no spell, no special charges)</t>
  </si>
  <si>
    <t>Planting Costs</t>
  </si>
  <si>
    <t>Post Planting Costs</t>
  </si>
  <si>
    <t>Forage development cost calculator</t>
  </si>
  <si>
    <t>Pre planting costs</t>
  </si>
  <si>
    <t>Total direct development costs</t>
  </si>
  <si>
    <t>Opportunity cost of development capital</t>
  </si>
  <si>
    <t>Amortised development costs</t>
  </si>
  <si>
    <t>life of forage</t>
  </si>
  <si>
    <t>years</t>
  </si>
  <si>
    <t>per hectare per annum</t>
  </si>
  <si>
    <t>Dolichos</t>
  </si>
  <si>
    <t>Chisel plough</t>
  </si>
  <si>
    <t>6 metre</t>
  </si>
  <si>
    <t>Tyne cultivator</t>
  </si>
  <si>
    <t>For</t>
  </si>
  <si>
    <t>Live weight range</t>
  </si>
  <si>
    <t>Date</t>
  </si>
  <si>
    <t>Jap ox price minus medium store price</t>
  </si>
  <si>
    <t>Tractor Costing</t>
  </si>
  <si>
    <t>Repairs(% Replacement life over the expected life)</t>
  </si>
  <si>
    <t>Trade In(% Replacement life)</t>
  </si>
  <si>
    <t>Hours/Year (all uses)</t>
  </si>
  <si>
    <t>Tractor only Fuel Oil Repairs Maintenance (FORM) per hour</t>
  </si>
  <si>
    <t>Total Cost of tractor per hour</t>
  </si>
  <si>
    <t>Cost estimates ($/ha) for own header or picker</t>
  </si>
  <si>
    <t>Machine and implement costing</t>
  </si>
  <si>
    <t>Implement name</t>
  </si>
  <si>
    <t>Implement description</t>
  </si>
  <si>
    <t>Tractor number for matching fuel use rate</t>
  </si>
  <si>
    <t>Repairs(% Replacement price)</t>
  </si>
  <si>
    <t>Fuel &amp; Oil</t>
  </si>
  <si>
    <t>Repairs &amp; Maintenance</t>
  </si>
  <si>
    <t>Total Cost   ($/ha)</t>
  </si>
  <si>
    <t>Total FORM ($/ ha)</t>
  </si>
  <si>
    <t>TOTAL machinery costs including ownership costs($/ha)</t>
  </si>
  <si>
    <t>Labour cost</t>
  </si>
  <si>
    <t>Rate of application</t>
  </si>
  <si>
    <t>number of applications</t>
  </si>
  <si>
    <t xml:space="preserve"> % of area treated</t>
  </si>
  <si>
    <t>cost / unit</t>
  </si>
  <si>
    <t>Machinery FORM + Labour</t>
  </si>
  <si>
    <t>Machiney Contract rate</t>
  </si>
  <si>
    <t>Grass Fed Jap Ox Dinmore c/kg live equivalent</t>
  </si>
  <si>
    <t>Grass Fed Ox Dinmore C/kg live equivalent</t>
  </si>
  <si>
    <t>Dressing percentage</t>
  </si>
  <si>
    <t>Dinmore prices aligned with Gracemere dates</t>
  </si>
  <si>
    <t>Dinmore price converted to cents per kg dressed</t>
  </si>
  <si>
    <t>201-300 stores Gracemere c/kg live</t>
  </si>
  <si>
    <t>301-400 stores Gracemere c/kg live</t>
  </si>
  <si>
    <t>&gt;500 stores Gracemere c/kg live</t>
  </si>
  <si>
    <t>Prices data</t>
  </si>
  <si>
    <t>Although average prices have been applied in the example gross margins, it should be noted that the difference between the purchase price of steers and the sale price of ox</t>
  </si>
  <si>
    <t>Steers (kg liveweight)</t>
  </si>
  <si>
    <t xml:space="preserve">The profitability of any steer growing or fattening enterprise can be greatly impacted by the relationship between purchase and sale price and price ranges relevant to the </t>
  </si>
  <si>
    <t>enterprise and opportunities under consideration should always be used.</t>
  </si>
  <si>
    <t>The data used to calculate the Mean, Median, Max and Min are attached to this sheet beginning at row 100.</t>
  </si>
  <si>
    <t>Contract rate</t>
  </si>
  <si>
    <t>Workbook notes</t>
  </si>
  <si>
    <r>
      <t>·</t>
    </r>
    <r>
      <rPr>
        <sz val="12"/>
        <rFont val="Times New Roman"/>
        <family val="1"/>
      </rPr>
      <t xml:space="preserve">         </t>
    </r>
    <r>
      <rPr>
        <sz val="12"/>
        <rFont val="Arial"/>
        <family val="2"/>
      </rPr>
      <t>Fuel = fuel consumption (litres per hour) multiplied by the fuel cost (cents per litre net of rebates)</t>
    </r>
  </si>
  <si>
    <r>
      <t>·</t>
    </r>
    <r>
      <rPr>
        <sz val="12"/>
        <rFont val="Times New Roman"/>
        <family val="1"/>
      </rPr>
      <t xml:space="preserve">         </t>
    </r>
    <r>
      <rPr>
        <sz val="12"/>
        <rFont val="Arial"/>
        <family val="2"/>
      </rPr>
      <t>Oil can usually be assessed as 10% of fuel cost</t>
    </r>
  </si>
  <si>
    <r>
      <t xml:space="preserve">·    </t>
    </r>
    <r>
      <rPr>
        <sz val="12"/>
        <rFont val="Arial"/>
        <family val="2"/>
      </rPr>
      <t xml:space="preserve">Repairs and Maintenance. To calculate a share of repairs and maintenance, firstly identify the replacement cost of the machine. This can be the current new value of the machine or the second hand value if it is going to be replaced with a used machine. Then identify the total cost of all repairs likely to be incurred over the life of the machine and calculate that as a percentage of the replacement value. The longer the machine is kept the higher the percentage – up to 70% or more for a tractor that is kept a long time (&gt; 5000 hours) and used to undertake heavy work. To calculate the hourly cost of repairs and maintenance the replacement cost of the machine is </t>
    </r>
    <r>
      <rPr>
        <i/>
        <sz val="12"/>
        <rFont val="Arial"/>
        <family val="2"/>
      </rPr>
      <t>multiplied by</t>
    </r>
    <r>
      <rPr>
        <sz val="12"/>
        <rFont val="Arial"/>
        <family val="2"/>
      </rPr>
      <t xml:space="preserve"> the percentage of the replacement cost of the machine spent on repairs over the life of the machine and </t>
    </r>
    <r>
      <rPr>
        <i/>
        <sz val="12"/>
        <rFont val="Arial"/>
        <family val="2"/>
      </rPr>
      <t>divided by</t>
    </r>
    <r>
      <rPr>
        <sz val="12"/>
        <rFont val="Arial"/>
        <family val="2"/>
      </rPr>
      <t xml:space="preserve"> the hours of life of the machine. For example, if a machine costs $10,000 and about $3,000 is expected to be spent on repairs and maintenance over its five year life, then about 30% of the cost of the machine will be spent on repairs. If the machine is used for 100 hours per annum, the hourly cost of repairs and maintenance is about $6 per hour of use.</t>
    </r>
  </si>
  <si>
    <t>How gross margins are calculated in this workbook</t>
  </si>
  <si>
    <t>Gross margin notes in general</t>
  </si>
  <si>
    <t>Gross Margin Summary</t>
  </si>
  <si>
    <t>Dressed weight (kg)</t>
  </si>
  <si>
    <t>Calculate the paddock value of the owned steer</t>
  </si>
  <si>
    <t>Steer weight in the paddock</t>
  </si>
  <si>
    <t>weight loss to get to sale yards or works</t>
  </si>
  <si>
    <t>Steer weight at saleyards or works</t>
  </si>
  <si>
    <t>Sale price at yards or works</t>
  </si>
  <si>
    <t>Gross sale price $/head</t>
  </si>
  <si>
    <t>Commission &amp; insurance %</t>
  </si>
  <si>
    <t>Commission &amp; insurance/head</t>
  </si>
  <si>
    <t>Transaction levy, yard dues etc</t>
  </si>
  <si>
    <t>Transport cost/head</t>
  </si>
  <si>
    <t>Steer value net of selling expenses</t>
  </si>
  <si>
    <t>Paddock weight</t>
  </si>
  <si>
    <t>Selling cost per kg</t>
  </si>
  <si>
    <t>Net value $/kg in the paddock</t>
  </si>
  <si>
    <t>Stocking rate (AE per hectare)</t>
  </si>
  <si>
    <t>Stocking rate (hectare per AE)</t>
  </si>
  <si>
    <t>Expected carrying capacity in AE</t>
  </si>
  <si>
    <t>Forage available for consumption</t>
  </si>
  <si>
    <t>Forage available for consumption per hectare</t>
  </si>
  <si>
    <t>Residual required</t>
  </si>
  <si>
    <t>Expected annual forage growth</t>
  </si>
  <si>
    <t>kg dry matter</t>
  </si>
  <si>
    <t>Forage production estimate</t>
  </si>
  <si>
    <t>Factor</t>
  </si>
  <si>
    <t>Consumption per AE per annum</t>
  </si>
  <si>
    <t>Kgs consumed by livestock</t>
  </si>
  <si>
    <t>Expected utilisation</t>
  </si>
  <si>
    <t>Area of paddock</t>
  </si>
  <si>
    <t>Calculated AE rating</t>
  </si>
  <si>
    <t>Total annual AEs</t>
  </si>
  <si>
    <t>Gross Margin per annum (after Interest)</t>
  </si>
  <si>
    <t>Butterfly pea inoculant</t>
  </si>
  <si>
    <t>Lablab inoculant</t>
  </si>
  <si>
    <t>Baseline buffel</t>
  </si>
  <si>
    <t>Forage sorghum</t>
  </si>
  <si>
    <t>Leucaena</t>
  </si>
  <si>
    <t>Stocking rate (Ha per AE)</t>
  </si>
  <si>
    <t>Sale price at yards or works ($ /kg live)</t>
  </si>
  <si>
    <t>Gross sale price ($/head)</t>
  </si>
  <si>
    <t>Commission &amp; insurance ($/head)</t>
  </si>
  <si>
    <t>Transport cost ($/head)</t>
  </si>
  <si>
    <t>Selling cost ($ per kg)</t>
  </si>
  <si>
    <t xml:space="preserve">Net value in the paddock ($/kg) </t>
  </si>
  <si>
    <t>Induction cost ($ per head)</t>
  </si>
  <si>
    <t>Total size of the paddock</t>
  </si>
  <si>
    <t xml:space="preserve"> % of paddock planted to forage</t>
  </si>
  <si>
    <t>Livestock entering the paddock</t>
  </si>
  <si>
    <t>Number entering the paddock</t>
  </si>
  <si>
    <t>Average purchase weight (Kg live)</t>
  </si>
  <si>
    <t>Cost of stock per head into paddock</t>
  </si>
  <si>
    <t>Total cost of stock</t>
  </si>
  <si>
    <t>Forage area stocking rate  (head per hectare)</t>
  </si>
  <si>
    <t>Forage area stocking rate  (hectare per head)</t>
  </si>
  <si>
    <t>Mob 1</t>
  </si>
  <si>
    <t>Mob 2</t>
  </si>
  <si>
    <t>Mob 3</t>
  </si>
  <si>
    <t>Mob 4</t>
  </si>
  <si>
    <t>Mob 5</t>
  </si>
  <si>
    <t>Mob 6</t>
  </si>
  <si>
    <t>Date leaving the paddock</t>
  </si>
  <si>
    <t>Average weight leaving the paddock (kg /head)</t>
  </si>
  <si>
    <t>Number leaving the paddock</t>
  </si>
  <si>
    <t>Gross value per head</t>
  </si>
  <si>
    <t>Gross value of mob</t>
  </si>
  <si>
    <t>Sales commission (%)</t>
  </si>
  <si>
    <t>Commission paid</t>
  </si>
  <si>
    <t>MLA levy ($ per head)</t>
  </si>
  <si>
    <t>Yard fees ($ per head)</t>
  </si>
  <si>
    <t>Sale tags (total for mob)</t>
  </si>
  <si>
    <t>Total sundry selling costs</t>
  </si>
  <si>
    <t>Trucking distance (Km)</t>
  </si>
  <si>
    <t>$ per Km per deck</t>
  </si>
  <si>
    <t>Rate on deck (head)</t>
  </si>
  <si>
    <t>Total trucking costs</t>
  </si>
  <si>
    <t>Trucking cost ($ per head)</t>
  </si>
  <si>
    <t>Number in the mob</t>
  </si>
  <si>
    <t>Days grazing</t>
  </si>
  <si>
    <t>Opening value (per head)</t>
  </si>
  <si>
    <t>Funds invested</t>
  </si>
  <si>
    <t>Interest rate</t>
  </si>
  <si>
    <t>Opportunity cost of livestock</t>
  </si>
  <si>
    <t>Total interest forgone</t>
  </si>
  <si>
    <t>Adult Equivalent calculator</t>
  </si>
  <si>
    <t>Opening weight</t>
  </si>
  <si>
    <t>(Stocking rate Hectare per AE)</t>
  </si>
  <si>
    <t>Total AE's</t>
  </si>
  <si>
    <t>Total AEs</t>
  </si>
  <si>
    <t>D&amp;G</t>
  </si>
  <si>
    <t>12m Gyral planter</t>
  </si>
  <si>
    <t>12 m  chisel</t>
  </si>
  <si>
    <t>Spray Rig</t>
  </si>
  <si>
    <t>Tarramba leucaena</t>
  </si>
  <si>
    <t>Interest foregone on livestock capital</t>
  </si>
  <si>
    <t>steer grain supplement</t>
  </si>
  <si>
    <t xml:space="preserve">Kilograms of liveweight gain per hectare </t>
  </si>
  <si>
    <t>Please note that forage crops that have a life of more than one year and/or have establishment costs that contribute to production over a number of years, have their establishment costs amortised (added as an equivalent annual cost) in the calculation of the gross margin. The amortisation process includes the opportunity cost of the capital applied in the pasture establishment process to the calculation of the gross margin. This allows a broad comparison of annual forage crops with those that have longer lives. More detailed investment analysis techniques should be applied prior to an investment in long lived forage crops before a final decision is made to commit resources to their production.</t>
  </si>
  <si>
    <r>
      <t xml:space="preserve">There are no locked formulae or hidden cells in these worksheets. Changes made to the input cells found in the </t>
    </r>
    <r>
      <rPr>
        <b/>
        <i/>
        <sz val="12"/>
        <rFont val="Arial"/>
        <family val="2"/>
      </rPr>
      <t>Treatments</t>
    </r>
    <r>
      <rPr>
        <i/>
        <sz val="12"/>
        <rFont val="Arial"/>
        <family val="2"/>
      </rPr>
      <t xml:space="preserve"> and </t>
    </r>
    <r>
      <rPr>
        <b/>
        <i/>
        <sz val="12"/>
        <rFont val="Arial"/>
        <family val="2"/>
      </rPr>
      <t>Machines</t>
    </r>
    <r>
      <rPr>
        <i/>
        <sz val="12"/>
        <rFont val="Arial"/>
        <family val="2"/>
      </rPr>
      <t xml:space="preserve"> sheet should be automatically reflected throughout the gross margin sheets. Cells highlighted in yellow are input cells. Changes made to any cells with formulas are made at the users risk.</t>
    </r>
  </si>
  <si>
    <t xml:space="preserve">The first method uses the typical gross margin approach based on the allocation of variable costs to enterprises or activities but includes an allowance for the labour costs associated with machinery operation. It also has the usual allowance of FORM and other variable expenses associated with allocating machinery operating costs to gross margins.  </t>
  </si>
  <si>
    <t>Forage assessment model - gross margin 7</t>
  </si>
  <si>
    <t>Contract machinery rates used in the gross margin analysis are calculated in the machinery sheet and are summarised after row 366 of this sheet.</t>
  </si>
  <si>
    <t>The second method calculates a pseudo "contract" rate to cost machinery operations based on the economic costs of machine ownership and use over time. The contract rate calculated apportions overhead, operating and labour costs on a per hectare basis for the use of the machines or combinations of machines. To this figure an allowance for profit and minor travel costs is added. The amount added to cover profit and other costs can be varied in the machinery worksheet. The final figure roughly represents the rate that could be charged by a farmer who was asked to do some work on a contract basis for a neighbour and who also wanted to recover a proportional share of the costs of owning and operating the machines plus the labour asociated with the activity plus some small measure of profit. The contract rate does not represent what should be charged by a contracting business to undertake the same activity as that form of business would incur different costs.</t>
  </si>
  <si>
    <t>The results of both methods are reported on the gross margin summary sheet and allow comparison of the relative profitability of the forages whether they are grown with machinery that is already part of the business or grown using machinery that is accessed at a "contract rate".</t>
  </si>
  <si>
    <t>Leucaena planter</t>
  </si>
  <si>
    <t>Grass planter</t>
  </si>
  <si>
    <t>Leucaena fertiliser spreading</t>
  </si>
  <si>
    <t>Notes</t>
  </si>
  <si>
    <t>The first block of summaries shows the results of the gross margins calculated on the basis of variable costs and amortised development costs only.</t>
  </si>
  <si>
    <r>
      <t xml:space="preserve">Where appropriate, the costs of developing a long lived forage and the amortised value of these costs are shown in the section of each worksheet titled </t>
    </r>
    <r>
      <rPr>
        <i/>
        <sz val="12"/>
        <rFont val="Arial"/>
        <family val="2"/>
      </rPr>
      <t>Development Costs Calculator</t>
    </r>
  </si>
  <si>
    <t>The prices applied to livestock inputs are generally the median value attainable for the relevant weight range at the most relevant store sale or abattoir at the date nearest to the date the forage is stocked.</t>
  </si>
  <si>
    <t>Forage annual contract costs</t>
  </si>
  <si>
    <t>Forage growing costs</t>
  </si>
  <si>
    <t>Variable costs</t>
  </si>
  <si>
    <t>Stocking rate (head per hectare)</t>
  </si>
  <si>
    <t>Stocking rate (hectare per head)</t>
  </si>
  <si>
    <t>Kilograms of liveweight gain per hectare per annum</t>
  </si>
  <si>
    <t>Annual forages</t>
  </si>
  <si>
    <t>Perennial forages</t>
  </si>
  <si>
    <t>Oats</t>
  </si>
  <si>
    <t>Forage Sorghum</t>
  </si>
  <si>
    <t>Lablab</t>
  </si>
  <si>
    <t>Butterfly pea</t>
  </si>
  <si>
    <t>Buffel grass</t>
  </si>
  <si>
    <t>Native pasture (Open Downs)</t>
  </si>
  <si>
    <t>Residual (kg DM/ha)</t>
  </si>
  <si>
    <t>Utilisation (0.3-0.5)</t>
  </si>
  <si>
    <t>Average weight gain and liveweights</t>
  </si>
  <si>
    <t>The relevant input price is converted to a value in the paddock by allowing for selling expenses (if the livestock are already owned) or purchase expenses (if the livestock are being purchased to stock the forage)</t>
  </si>
  <si>
    <t>This worksheet is used to enter data for commonly encountered chemical, fertiliser, seed and contract costs. The number in column C can be entered in later worksheets as part of a lookup function to automatically enter the cost in column J</t>
  </si>
  <si>
    <t>This worksheet allows a cost item to be recorded once here. It can then be automatically changed in all worksheets where it is subsequently used.</t>
  </si>
  <si>
    <t xml:space="preserve">Cotton Harvest Solid </t>
  </si>
  <si>
    <t>Heavy Offsets - contract</t>
  </si>
  <si>
    <t>Peanut cutting and pulling</t>
  </si>
  <si>
    <t>Butterfly pea amortised development costs</t>
  </si>
  <si>
    <t>Mungbeans</t>
  </si>
  <si>
    <t>Biloela to Kingaroy (navy beans)</t>
  </si>
  <si>
    <t>Ammonium Sulphate (tech grade)</t>
  </si>
  <si>
    <t>Boron solution</t>
  </si>
  <si>
    <t>Fuel Consumption (litres/hour)</t>
  </si>
  <si>
    <t>Average work rate (ha/h) Header and cotton picker only</t>
  </si>
  <si>
    <t>Work rate (ha/hour)</t>
  </si>
  <si>
    <t>Trade In(% Replacement price)</t>
  </si>
  <si>
    <t>Average work rate (ha/h)</t>
  </si>
  <si>
    <t>Allowance for travel and profit</t>
  </si>
  <si>
    <t>This side of the worksheet calculates variable costs of the basis of the machinery being owned</t>
  </si>
  <si>
    <t>This side of the worksheet automatically calculates costs on the basis of nominal contract rates</t>
  </si>
  <si>
    <t>Machinery costs incurred during the development phase can be added from the Treatments worksheet  - see rows 350 to 380</t>
  </si>
  <si>
    <t>Development costs are added to the estimate of forage variable costs as amortised costs</t>
  </si>
  <si>
    <t xml:space="preserve">The expected life of the forage and the opportunity cost of development capital are used to calculate the amortised cost of the forage developemnt phase. </t>
  </si>
  <si>
    <t>Where a period of grazing is forgone during the development phase, an amount equal to the annual Buffel grass gross margin can be added to the costs of developing the forage.</t>
  </si>
  <si>
    <t>Grazing foregone for development (buffel grass gross margin)</t>
  </si>
  <si>
    <t>Forage annual variable cost calculator</t>
  </si>
  <si>
    <t>Total forage annual costs</t>
  </si>
  <si>
    <t>Livestock Purchases</t>
  </si>
  <si>
    <t>See the Leucaena and Butterfly pea gross margins to see how development costs can be incorporated in the analysis of relative profitability</t>
  </si>
  <si>
    <t>More detailed investment analysis techniques should be applied prior to an investment in long lived forage crops before a final decision is made to commit resources to their production.</t>
  </si>
  <si>
    <t>Forage type</t>
  </si>
  <si>
    <t>Area of forage</t>
  </si>
  <si>
    <t>kg dry matter /hectare</t>
  </si>
  <si>
    <t>kg/AE/yr</t>
  </si>
  <si>
    <t>Calculator - Actual landed cost of a purchased steer (liveweight)</t>
  </si>
  <si>
    <t>Travel costs incurred in finding the steers</t>
  </si>
  <si>
    <t>Livestock purchase parameters</t>
  </si>
  <si>
    <t>Average age of purchased steers (months)</t>
  </si>
  <si>
    <t>Cohort ID</t>
  </si>
  <si>
    <t>Start &amp; Finish Age / Cohort</t>
  </si>
  <si>
    <t>Travel cost per head</t>
  </si>
  <si>
    <t>Which cohort do the purchased steers refer to?</t>
  </si>
  <si>
    <t xml:space="preserve"> (Enter 1 to 5)</t>
  </si>
  <si>
    <t>Purchase price $ per kg</t>
  </si>
  <si>
    <t>Number of steers purchased</t>
  </si>
  <si>
    <t>Transport cost per head</t>
  </si>
  <si>
    <t>Purchase price steers ($/kg live)</t>
  </si>
  <si>
    <t>Induction cost per head</t>
  </si>
  <si>
    <t>Purchase weight steers (kg live)</t>
  </si>
  <si>
    <t>Cost of purchased steers</t>
  </si>
  <si>
    <t>Gross cost of purchased steers (per head)</t>
  </si>
  <si>
    <t>Landed purchase cost per kilogram</t>
  </si>
  <si>
    <t>Weight gain per day</t>
  </si>
  <si>
    <t>kilograms per head per day</t>
  </si>
  <si>
    <t>Total days held</t>
  </si>
  <si>
    <t>Steer Weight Gains</t>
  </si>
  <si>
    <t>First Period Held</t>
  </si>
  <si>
    <t>Second Period Held</t>
  </si>
  <si>
    <t>Third Period Held</t>
  </si>
  <si>
    <t>Fourth Period Held</t>
  </si>
  <si>
    <t>Fifth Period Held</t>
  </si>
  <si>
    <t>Kilograms Gained</t>
  </si>
  <si>
    <t>Closing Weight (Kg Live)</t>
  </si>
  <si>
    <t>Weight gain for first sale group (kg)</t>
  </si>
  <si>
    <t>Weight gain for second sale group (kg)</t>
  </si>
  <si>
    <t>Steer Losses - Pre Sale</t>
  </si>
  <si>
    <t>Age Cohort</t>
  </si>
  <si>
    <t>Steer Losses</t>
  </si>
  <si>
    <t>Sales Options</t>
  </si>
  <si>
    <t>First Sale Group</t>
  </si>
  <si>
    <t>Second Sale Group</t>
  </si>
  <si>
    <t>Percentage of Total Sold</t>
  </si>
  <si>
    <t>Breakup of Steer Sales</t>
  </si>
  <si>
    <t>Opening Number</t>
  </si>
  <si>
    <t>Losses</t>
  </si>
  <si>
    <t>Number for Sale</t>
  </si>
  <si>
    <t>Number Sold</t>
  </si>
  <si>
    <t>Weight of Sale Steers</t>
  </si>
  <si>
    <t>Age Sold (months)</t>
  </si>
  <si>
    <t>Steer Selling Prices and Income</t>
  </si>
  <si>
    <t>Sale Price ($ per Kg Live)</t>
  </si>
  <si>
    <t>Estimated Dressing %</t>
  </si>
  <si>
    <t>$ per Kg Dressed</t>
  </si>
  <si>
    <t xml:space="preserve"> $ per Head (Gross)</t>
  </si>
  <si>
    <t>Total Sales</t>
  </si>
  <si>
    <t>Liveweight Kgs Sold</t>
  </si>
  <si>
    <t>Dressed Weight Sold</t>
  </si>
  <si>
    <t>Transport Loading Density Guide</t>
  </si>
  <si>
    <t>Source for loading density: Kaus, Lapworth and Dunn "Marketing Cattle  to South-East Asia"</t>
  </si>
  <si>
    <t>Maximum for lighter cattle = 44/deck</t>
  </si>
  <si>
    <t>Kg Beef Purchased</t>
  </si>
  <si>
    <t>Net Sold</t>
  </si>
  <si>
    <t xml:space="preserve">Steers herd - Composition and Value </t>
  </si>
  <si>
    <t>Avg $ per Head</t>
  </si>
  <si>
    <t>Value</t>
  </si>
  <si>
    <t>Freight Costs In</t>
  </si>
  <si>
    <t>Purchases</t>
  </si>
  <si>
    <t>Average weight</t>
  </si>
  <si>
    <t>Distance (Km)</t>
  </si>
  <si>
    <t>$ per Km</t>
  </si>
  <si>
    <t>Rate on Truck</t>
  </si>
  <si>
    <t>Per head</t>
  </si>
  <si>
    <t>Selling Expenses</t>
  </si>
  <si>
    <t>Sales Commission</t>
  </si>
  <si>
    <t>Total Commission Paid</t>
  </si>
  <si>
    <t>MLA Levy</t>
  </si>
  <si>
    <t>Tags</t>
  </si>
  <si>
    <t>Total Sundries Paid</t>
  </si>
  <si>
    <t>Average Sale Weight</t>
  </si>
  <si>
    <t>Per Head</t>
  </si>
  <si>
    <t>Freight Out</t>
  </si>
  <si>
    <t>Treatment Expenses</t>
  </si>
  <si>
    <t>Number in Class</t>
  </si>
  <si>
    <t>Fodder</t>
  </si>
  <si>
    <t>Ticks</t>
  </si>
  <si>
    <t>Drench</t>
  </si>
  <si>
    <t xml:space="preserve"> 5 in 1</t>
  </si>
  <si>
    <t>Botulism</t>
  </si>
  <si>
    <t>Flies</t>
  </si>
  <si>
    <t>Growth Promotant</t>
  </si>
  <si>
    <t>Adult Equivalent Table</t>
  </si>
  <si>
    <t>Livestock Cohorts</t>
  </si>
  <si>
    <t>Number</t>
  </si>
  <si>
    <t>Average Months Grazing</t>
  </si>
  <si>
    <t>Average Final Age</t>
  </si>
  <si>
    <t>Av Final or Sale Kg</t>
  </si>
  <si>
    <t>Total Number Including Losses</t>
  </si>
  <si>
    <t>Gross margin calculation</t>
  </si>
  <si>
    <t>Livestock Sales</t>
  </si>
  <si>
    <t>Freight In</t>
  </si>
  <si>
    <t>Total Expenses</t>
  </si>
  <si>
    <t>Gross Margin</t>
  </si>
  <si>
    <t>Gross Margin (after Interest)</t>
  </si>
  <si>
    <t>Opportunity cost of interest on steer purchases</t>
  </si>
  <si>
    <t>per ha per annum</t>
  </si>
  <si>
    <t>In a gross margin analysis, the costs of farming plant to an enterprise or activity are usually apportioned on an hourly and rate of use basis. This allows inclusion in the gross margin of the proportional amount of operating costs of the farming plant used by each enterprise or activity, improving the validity of the comparison where different forage crops require different amounts of machinery inputs.</t>
  </si>
  <si>
    <t>The prices applied in this workbook are based on market price data collected by MLA or Departmental staff. All livestock are valued at their average expected market value in the paddock at the time the forage crop is stocked.</t>
  </si>
  <si>
    <t>The prices applied to steer sales are generally the median value attained for the relevant slaughter weight range and quality at a relevant abattoir or store sale at the end of the forage grazing.</t>
  </si>
  <si>
    <t>Store steer prices have tended upwards over the life of the data shown. The 300 to 400 kilogram live steer class has risen from about 150 to 180 cents per kilogram over the period</t>
  </si>
  <si>
    <t>Ox prices at Dinmore have also trended upwards over the same period but not to the same extent. Ox prices have risen from about 160 to about 175 cents per kilo liveweight over the same period.</t>
  </si>
  <si>
    <t>margin calculators to transfer the price data to the gross margin</t>
  </si>
  <si>
    <t>The machinery used to grow forage crops is detailed here. The worksheet calculates both FORM and approximate contract rates. These values are shown at the bottom of the worksheet for each machine combination</t>
  </si>
  <si>
    <t>Estimated contractor rate (total cost plus allowance for travel and profit) $/ha</t>
  </si>
  <si>
    <t>The second block shows the results of the same gross margins calculated on the basis of using the same machinery at a "contract" rate to prepare and plant the forage crops.</t>
  </si>
  <si>
    <t>Number purchased</t>
  </si>
  <si>
    <t>Average purchase weight live</t>
  </si>
  <si>
    <t>Steer total cost</t>
  </si>
  <si>
    <t>Buying cost per kg</t>
  </si>
  <si>
    <t>Central Queensland sale yard selling fees (2012)</t>
  </si>
  <si>
    <t>can vary significantly over time. The graph of difference shown below indicates that the difference in prices paid and received can be either positive or negative by up to 20 cents per kilogram liveweight</t>
  </si>
  <si>
    <t>All prices should be checked for applicability prior to use in the worksheet</t>
  </si>
  <si>
    <t xml:space="preserve">The item number shown in Column C can be used in the gross </t>
  </si>
  <si>
    <t>This worksheet summarises the gross margins calculated on the next ten worksheets. Changes to input values made to those worksheets are reflected in the summary shown here.</t>
  </si>
  <si>
    <t>The names of gross margins can be entered in the yellow formatted cells shown below and are transferred to the relevant worksheet</t>
  </si>
  <si>
    <t>These summary gross margins are calculated as if the machinery is owned by the business and include machinery operation labour</t>
  </si>
  <si>
    <t>These summary gross margins are calculated as if the machinery is not owned by the business (on the basis of contract costs) and include machinery operation labour</t>
  </si>
  <si>
    <t>Leucaena seed</t>
  </si>
  <si>
    <t>Leucaena inoculant</t>
  </si>
  <si>
    <t>Beetle bait</t>
  </si>
  <si>
    <t>No</t>
  </si>
  <si>
    <t>No treatment</t>
  </si>
  <si>
    <t>Seed</t>
  </si>
  <si>
    <t>Millet</t>
  </si>
  <si>
    <t>Mungbean</t>
  </si>
  <si>
    <t>Navy Bean</t>
  </si>
  <si>
    <t>DAP</t>
  </si>
  <si>
    <t>Granam</t>
  </si>
  <si>
    <t>Gypsum</t>
  </si>
  <si>
    <t>Nitram</t>
  </si>
  <si>
    <t>Phosul</t>
  </si>
  <si>
    <t>Sulphate of Potash</t>
  </si>
  <si>
    <t>Urea</t>
  </si>
  <si>
    <t>Zinc Sulphate Heptahydrate</t>
  </si>
  <si>
    <t>Herbicide</t>
  </si>
  <si>
    <t>Glean</t>
  </si>
  <si>
    <t>Basagran</t>
  </si>
  <si>
    <t>Blazer 2L</t>
  </si>
  <si>
    <t>Buticide</t>
  </si>
  <si>
    <t>Cotogard</t>
  </si>
  <si>
    <t>Eptam</t>
  </si>
  <si>
    <t>Ally</t>
  </si>
  <si>
    <t>MCPA LVE</t>
  </si>
  <si>
    <t>Reglone</t>
  </si>
  <si>
    <t>Starane</t>
  </si>
  <si>
    <t>Tordon 242</t>
  </si>
  <si>
    <t>Tordon 75D</t>
  </si>
  <si>
    <t>Treflan</t>
  </si>
  <si>
    <t>Insecticide</t>
  </si>
  <si>
    <t>Actellic 900 SF</t>
  </si>
  <si>
    <t>Dipel</t>
  </si>
  <si>
    <t>Larvin 375</t>
  </si>
  <si>
    <t>PBO</t>
  </si>
  <si>
    <t>profenofos</t>
  </si>
  <si>
    <t>Semevin</t>
  </si>
  <si>
    <t>Fungicide</t>
  </si>
  <si>
    <t>Rover</t>
  </si>
  <si>
    <t xml:space="preserve"> FARM MACHINERY COSTING</t>
  </si>
  <si>
    <t xml:space="preserve">   Labour cost ($/hr) :</t>
  </si>
  <si>
    <t>Interest Rate (%)</t>
  </si>
  <si>
    <t>Inflation Rate (%)</t>
  </si>
  <si>
    <t>OPERATION:</t>
  </si>
  <si>
    <t>Machine No.</t>
  </si>
  <si>
    <t>MACHINERY INPUTS:-</t>
  </si>
  <si>
    <t xml:space="preserve"> ------------------------------------------------</t>
  </si>
  <si>
    <t xml:space="preserve"> --------------------------</t>
  </si>
  <si>
    <t>Hours/Life</t>
  </si>
  <si>
    <t>Hours/Year</t>
  </si>
  <si>
    <t>Labour Cost($/h)</t>
  </si>
  <si>
    <t>COST ESTIMATES($/hour)</t>
  </si>
  <si>
    <t>Fuel, Oil Cost</t>
  </si>
  <si>
    <t>Repairs, Tyres Cost</t>
  </si>
  <si>
    <t>Depreciation</t>
  </si>
  <si>
    <t>Interest</t>
  </si>
  <si>
    <t>Shelter</t>
  </si>
  <si>
    <t>Insurance</t>
  </si>
  <si>
    <t>Labour</t>
  </si>
  <si>
    <t>-</t>
  </si>
  <si>
    <t>COST ESTIMATE ($/hour)</t>
  </si>
  <si>
    <t>COST ESTIMATES($/ha)</t>
  </si>
  <si>
    <t>Fuel and Oil Cost / ha</t>
  </si>
  <si>
    <t>Repairs and Maintenance / ha</t>
  </si>
  <si>
    <t>Total FORM / ha</t>
  </si>
  <si>
    <t>ha</t>
  </si>
  <si>
    <t>Total</t>
  </si>
  <si>
    <t>Treatment No</t>
  </si>
  <si>
    <t>Inoculant</t>
  </si>
  <si>
    <t>Fertilizer</t>
  </si>
  <si>
    <t xml:space="preserve"> /ha</t>
  </si>
  <si>
    <t>Defoliant</t>
  </si>
  <si>
    <t>Contract</t>
  </si>
  <si>
    <t>hectares</t>
  </si>
  <si>
    <t>days</t>
  </si>
  <si>
    <t>INPUTS</t>
  </si>
  <si>
    <t>Aerial spraying - broadacre</t>
  </si>
  <si>
    <t>/ha</t>
  </si>
  <si>
    <t>Aerial spraying-cotton EC</t>
  </si>
  <si>
    <t>Aerial spraying-cotton ULV</t>
  </si>
  <si>
    <t>Chickpea scouting</t>
  </si>
  <si>
    <t>Casual labour/planting &amp; harvest</t>
  </si>
  <si>
    <t>/hour</t>
  </si>
  <si>
    <t>Peanut chipping</t>
  </si>
  <si>
    <t>Cotton Consultant</t>
  </si>
  <si>
    <t>per ha</t>
  </si>
  <si>
    <t>Cotton Crop Insurance</t>
  </si>
  <si>
    <t>Cotton Harvesting Double skip</t>
  </si>
  <si>
    <t>$170 / hr at 1.36 ha / hour @ 3 bales/ha</t>
  </si>
  <si>
    <t>/bale</t>
  </si>
  <si>
    <t>/each</t>
  </si>
  <si>
    <t>Light Offsets - contract</t>
  </si>
  <si>
    <t>Peanut Scouting</t>
  </si>
  <si>
    <t>Cotton Eliminator</t>
  </si>
  <si>
    <t>Contract (fert)</t>
  </si>
  <si>
    <t>Gypsum spread on farm</t>
  </si>
  <si>
    <t>/ton</t>
  </si>
  <si>
    <t>Lime spread on farm</t>
  </si>
  <si>
    <t>Leucaena is assumed to have a life of 30 years</t>
  </si>
  <si>
    <t>Account for lag in production by</t>
  </si>
  <si>
    <t>* Yr 1:  no production</t>
  </si>
  <si>
    <t>* Yr 2:  grazing days halved</t>
  </si>
  <si>
    <t>Butterfly pea is assumed to have a life of 5 years</t>
  </si>
  <si>
    <t>* Yr 1:  halving grazing days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</si>
</sst>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9">
    <numFmt numFmtId="6" formatCode="&quot;$&quot;#,##0;[Red]\-&quot;$&quot;#,##0"/>
    <numFmt numFmtId="8" formatCode="&quot;$&quot;#,##0.00;[Red]\-&quot;$&quot;#,##0.00"/>
    <numFmt numFmtId="43" formatCode="_-* #,##0.00_-;\-* #,##0.00_-;_-* &quot;-&quot;??_-;_-@_-"/>
    <numFmt numFmtId="164" formatCode="&quot;$&quot;#,##0_);\(&quot;$&quot;#,##0\)"/>
    <numFmt numFmtId="165" formatCode="&quot;$&quot;#,##0_);[Red]\(&quot;$&quot;#,##0\)"/>
    <numFmt numFmtId="166" formatCode="&quot;$&quot;#,##0.00_);\(&quot;$&quot;#,##0.00\)"/>
    <numFmt numFmtId="167" formatCode="_(&quot;$&quot;* #,##0.00_);_(&quot;$&quot;* \(#,##0.00\);_(&quot;$&quot;* &quot;-&quot;??_);_(@_)"/>
    <numFmt numFmtId="168" formatCode="&quot;$&quot;#,##0\ ;\(&quot;$&quot;#,##0\)"/>
    <numFmt numFmtId="169" formatCode="&quot;$&quot;#,##0.00"/>
    <numFmt numFmtId="170" formatCode="0.00_)"/>
    <numFmt numFmtId="171" formatCode="&quot;$&quot;#,##0"/>
    <numFmt numFmtId="172" formatCode="0.00;[Red]0.00"/>
    <numFmt numFmtId="173" formatCode="_-* #,##0.0_-;\-* #,##0.0_-;_-* &quot;-&quot;??_-;_-@_-"/>
    <numFmt numFmtId="174" formatCode="_(* #,##0.00000_);_(* \(#,##0.00000\);_(* &quot;-&quot;??_);_(@_)"/>
    <numFmt numFmtId="175" formatCode="mm/dd/yy"/>
    <numFmt numFmtId="176" formatCode="00"/>
    <numFmt numFmtId="177" formatCode="mmmm\ dd\,yyyy"/>
    <numFmt numFmtId="178" formatCode="&quot;$&quot;#,##0;[Red]&quot;$&quot;#,##0"/>
    <numFmt numFmtId="179" formatCode="0.00000"/>
    <numFmt numFmtId="180" formatCode="0.000"/>
    <numFmt numFmtId="181" formatCode="d/mm/yy"/>
    <numFmt numFmtId="182" formatCode="0.0"/>
    <numFmt numFmtId="183" formatCode="#,##0.00_ ;[Red]\-#,##0.00\ "/>
    <numFmt numFmtId="184" formatCode="&quot;$&quot;#,##0.0"/>
    <numFmt numFmtId="185" formatCode="_-* #,##0_-;\-* #,##0_-;_-* &quot;-&quot;??_-;_-@_-"/>
    <numFmt numFmtId="186" formatCode="#,##0.000"/>
    <numFmt numFmtId="187" formatCode="#,##0.0000"/>
    <numFmt numFmtId="188" formatCode="0.0000"/>
    <numFmt numFmtId="189" formatCode="&quot;$&quot;#,##0.000;[Red]\-&quot;$&quot;#,##0.000"/>
  </numFmts>
  <fonts count="51" x14ac:knownFonts="1">
    <font>
      <sz val="12"/>
      <name val="Arial"/>
    </font>
    <font>
      <sz val="12"/>
      <name val="Arial"/>
      <family val="2"/>
    </font>
    <font>
      <sz val="12"/>
      <name val="Arial"/>
      <family val="2"/>
    </font>
    <font>
      <sz val="12"/>
      <color indexed="8"/>
      <name val="Arial"/>
      <family val="2"/>
    </font>
    <font>
      <sz val="10"/>
      <color indexed="24"/>
      <name val="Arial"/>
      <family val="2"/>
    </font>
    <font>
      <sz val="12"/>
      <color indexed="10"/>
      <name val="Arial"/>
      <family val="2"/>
    </font>
    <font>
      <sz val="10"/>
      <color indexed="8"/>
      <name val="Arial"/>
      <family val="2"/>
    </font>
    <font>
      <b/>
      <sz val="12"/>
      <color indexed="8"/>
      <name val="Arial"/>
      <family val="2"/>
    </font>
    <font>
      <b/>
      <sz val="12"/>
      <name val="Arial"/>
      <family val="2"/>
    </font>
    <font>
      <sz val="10"/>
      <name val="Arial"/>
      <family val="2"/>
    </font>
    <font>
      <sz val="10"/>
      <color indexed="10"/>
      <name val="Arial"/>
      <family val="2"/>
    </font>
    <font>
      <sz val="10"/>
      <name val="Arial"/>
      <family val="2"/>
    </font>
    <font>
      <b/>
      <i/>
      <sz val="16"/>
      <name val="Helv"/>
    </font>
    <font>
      <sz val="12"/>
      <name val="Times New Roman"/>
      <family val="1"/>
    </font>
    <font>
      <b/>
      <sz val="10"/>
      <color indexed="8"/>
      <name val="Arial"/>
      <family val="2"/>
    </font>
    <font>
      <sz val="8"/>
      <name val="Arial"/>
      <family val="2"/>
    </font>
    <font>
      <sz val="10"/>
      <name val="Courier"/>
      <family val="3"/>
    </font>
    <font>
      <sz val="10"/>
      <color indexed="10"/>
      <name val="Courier"/>
      <family val="3"/>
    </font>
    <font>
      <b/>
      <i/>
      <sz val="12"/>
      <name val="Arial"/>
      <family val="2"/>
    </font>
    <font>
      <b/>
      <sz val="10"/>
      <name val="Arial"/>
      <family val="2"/>
    </font>
    <font>
      <i/>
      <sz val="10"/>
      <name val="Arial"/>
      <family val="2"/>
    </font>
    <font>
      <sz val="12"/>
      <name val="Arial"/>
      <family val="2"/>
    </font>
    <font>
      <b/>
      <sz val="12"/>
      <name val="Times New Roman"/>
      <family val="1"/>
    </font>
    <font>
      <sz val="12"/>
      <name val="Arial"/>
      <family val="2"/>
    </font>
    <font>
      <i/>
      <sz val="12"/>
      <name val="Arial"/>
      <family val="2"/>
    </font>
    <font>
      <sz val="12"/>
      <name val="Arial"/>
      <family val="2"/>
    </font>
    <font>
      <sz val="12"/>
      <name val="Symbol"/>
      <family val="1"/>
      <charset val="2"/>
    </font>
    <font>
      <sz val="12"/>
      <name val="Arial"/>
      <family val="2"/>
    </font>
    <font>
      <b/>
      <sz val="14"/>
      <name val="Arial"/>
      <family val="2"/>
    </font>
    <font>
      <b/>
      <sz val="20"/>
      <name val="Calibri"/>
      <family val="2"/>
    </font>
    <font>
      <sz val="11"/>
      <name val="Calibri"/>
      <family val="2"/>
    </font>
    <font>
      <b/>
      <sz val="16"/>
      <name val="Calibri"/>
      <family val="2"/>
    </font>
    <font>
      <b/>
      <sz val="12"/>
      <name val="Calibri"/>
      <family val="2"/>
    </font>
    <font>
      <sz val="12"/>
      <name val="Calibri"/>
      <family val="2"/>
    </font>
    <font>
      <sz val="11"/>
      <color indexed="8"/>
      <name val="Calibri"/>
      <family val="2"/>
    </font>
    <font>
      <sz val="11"/>
      <color indexed="9"/>
      <name val="Calibri"/>
      <family val="2"/>
    </font>
    <font>
      <b/>
      <sz val="11"/>
      <color indexed="9"/>
      <name val="Calibri"/>
      <family val="2"/>
    </font>
    <font>
      <b/>
      <sz val="11"/>
      <name val="Calibri"/>
      <family val="2"/>
    </font>
    <font>
      <b/>
      <sz val="11"/>
      <color indexed="8"/>
      <name val="Calibri"/>
      <family val="2"/>
    </font>
    <font>
      <b/>
      <u/>
      <sz val="11"/>
      <name val="Calibri"/>
      <family val="2"/>
    </font>
    <font>
      <b/>
      <u/>
      <sz val="11"/>
      <color indexed="8"/>
      <name val="Calibri"/>
      <family val="2"/>
    </font>
    <font>
      <sz val="11"/>
      <color indexed="10"/>
      <name val="Calibri"/>
      <family val="2"/>
    </font>
    <font>
      <b/>
      <sz val="10"/>
      <name val="Arial"/>
      <family val="2"/>
    </font>
    <font>
      <b/>
      <sz val="12"/>
      <color indexed="8"/>
      <name val="Calibri"/>
      <family val="2"/>
    </font>
    <font>
      <b/>
      <sz val="8"/>
      <color indexed="81"/>
      <name val="Tahoma"/>
      <family val="2"/>
    </font>
    <font>
      <sz val="8"/>
      <color indexed="81"/>
      <name val="Tahoma"/>
      <family val="2"/>
    </font>
    <font>
      <sz val="12"/>
      <color indexed="81"/>
      <name val="Tahoma"/>
      <family val="2"/>
    </font>
    <font>
      <sz val="12"/>
      <color indexed="9"/>
      <name val="Arial"/>
      <family val="2"/>
    </font>
    <font>
      <b/>
      <u/>
      <sz val="12"/>
      <name val="Arial"/>
      <family val="2"/>
    </font>
    <font>
      <b/>
      <sz val="12"/>
      <color indexed="9"/>
      <name val="Arial"/>
      <family val="2"/>
    </font>
    <font>
      <b/>
      <sz val="16"/>
      <name val="Arial"/>
      <family val="2"/>
    </font>
  </fonts>
  <fills count="15">
    <fill>
      <patternFill patternType="none"/>
    </fill>
    <fill>
      <patternFill patternType="gray125"/>
    </fill>
    <fill>
      <patternFill patternType="solid">
        <fgColor indexed="13"/>
      </patternFill>
    </fill>
    <fill>
      <patternFill patternType="solid">
        <fgColor indexed="13"/>
        <bgColor indexed="64"/>
      </patternFill>
    </fill>
    <fill>
      <patternFill patternType="solid">
        <fgColor indexed="14"/>
        <bgColor indexed="64"/>
      </patternFill>
    </fill>
    <fill>
      <patternFill patternType="solid">
        <fgColor indexed="11"/>
        <bgColor indexed="64"/>
      </patternFill>
    </fill>
    <fill>
      <patternFill patternType="solid">
        <fgColor indexed="10"/>
        <bgColor indexed="64"/>
      </patternFill>
    </fill>
    <fill>
      <patternFill patternType="solid">
        <fgColor indexed="43"/>
        <bgColor indexed="64"/>
      </patternFill>
    </fill>
    <fill>
      <patternFill patternType="solid">
        <fgColor indexed="19"/>
        <bgColor indexed="64"/>
      </patternFill>
    </fill>
    <fill>
      <patternFill patternType="solid">
        <fgColor indexed="9"/>
        <bgColor indexed="64"/>
      </patternFill>
    </fill>
    <fill>
      <patternFill patternType="solid">
        <fgColor indexed="29"/>
        <bgColor indexed="64"/>
      </patternFill>
    </fill>
    <fill>
      <patternFill patternType="solid">
        <fgColor indexed="15"/>
        <bgColor indexed="64"/>
      </patternFill>
    </fill>
    <fill>
      <patternFill patternType="solid">
        <fgColor indexed="42"/>
        <bgColor indexed="64"/>
      </patternFill>
    </fill>
    <fill>
      <patternFill patternType="solid">
        <fgColor theme="7" tint="0.39997558519241921"/>
        <bgColor indexed="64"/>
      </patternFill>
    </fill>
    <fill>
      <patternFill patternType="solid">
        <fgColor theme="7"/>
        <bgColor indexed="64"/>
      </patternFill>
    </fill>
  </fills>
  <borders count="37">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bottom style="dashed">
        <color indexed="22"/>
      </bottom>
      <diagonal/>
    </border>
    <border>
      <left style="thin">
        <color indexed="64"/>
      </left>
      <right/>
      <top/>
      <bottom style="dashed">
        <color indexed="22"/>
      </bottom>
      <diagonal/>
    </border>
    <border>
      <left/>
      <right/>
      <top style="thin">
        <color indexed="64"/>
      </top>
      <bottom style="double">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s>
  <cellStyleXfs count="50">
    <xf numFmtId="0" fontId="0" fillId="0" borderId="0"/>
    <xf numFmtId="0" fontId="11" fillId="0" borderId="0"/>
    <xf numFmtId="0" fontId="11" fillId="0" borderId="0"/>
    <xf numFmtId="0" fontId="19" fillId="0" borderId="0"/>
    <xf numFmtId="177" fontId="11" fillId="0" borderId="0" applyFill="0" applyBorder="0" applyAlignment="0"/>
    <xf numFmtId="177" fontId="11" fillId="0" borderId="0" applyFill="0" applyBorder="0" applyAlignment="0"/>
    <xf numFmtId="178" fontId="11" fillId="0" borderId="0" applyFill="0" applyBorder="0" applyAlignment="0"/>
    <xf numFmtId="172" fontId="11" fillId="0" borderId="0" applyFill="0" applyBorder="0" applyAlignment="0"/>
    <xf numFmtId="16" fontId="1" fillId="0" borderId="0" applyFill="0" applyBorder="0" applyAlignment="0"/>
    <xf numFmtId="177" fontId="11" fillId="0" borderId="0" applyFill="0" applyBorder="0" applyAlignment="0"/>
    <xf numFmtId="174" fontId="11" fillId="0" borderId="0" applyFill="0" applyBorder="0" applyAlignment="0"/>
    <xf numFmtId="177" fontId="11" fillId="0" borderId="0" applyFill="0" applyBorder="0" applyAlignment="0"/>
    <xf numFmtId="177" fontId="11" fillId="0" borderId="0" applyFont="0" applyFill="0" applyBorder="0" applyAlignment="0" applyProtection="0"/>
    <xf numFmtId="43" fontId="9" fillId="0" borderId="0" applyFont="0" applyFill="0" applyBorder="0" applyAlignment="0" applyProtection="0"/>
    <xf numFmtId="167" fontId="1" fillId="0" borderId="0" applyFont="0" applyFill="0" applyBorder="0" applyAlignment="0" applyProtection="0"/>
    <xf numFmtId="177" fontId="11" fillId="0" borderId="0" applyFont="0" applyFill="0" applyBorder="0" applyAlignment="0" applyProtection="0"/>
    <xf numFmtId="167" fontId="2" fillId="0" borderId="0" applyFont="0" applyFill="0" applyBorder="0" applyAlignment="0" applyProtection="0"/>
    <xf numFmtId="168" fontId="4" fillId="0" borderId="0" applyFont="0" applyFill="0" applyBorder="0" applyAlignment="0" applyProtection="0"/>
    <xf numFmtId="14" fontId="6" fillId="0" borderId="0" applyFill="0" applyBorder="0" applyAlignment="0"/>
    <xf numFmtId="177" fontId="11" fillId="0" borderId="0" applyFill="0" applyBorder="0" applyAlignment="0"/>
    <xf numFmtId="177" fontId="11" fillId="0" borderId="0" applyFill="0" applyBorder="0" applyAlignment="0"/>
    <xf numFmtId="177" fontId="11" fillId="0" borderId="0" applyFill="0" applyBorder="0" applyAlignment="0"/>
    <xf numFmtId="174" fontId="11" fillId="0" borderId="0" applyFill="0" applyBorder="0" applyAlignment="0"/>
    <xf numFmtId="177" fontId="11" fillId="0" borderId="0" applyFill="0" applyBorder="0" applyAlignment="0"/>
    <xf numFmtId="2" fontId="4" fillId="0" borderId="0" applyFont="0" applyFill="0" applyBorder="0" applyAlignment="0" applyProtection="0"/>
    <xf numFmtId="0" fontId="8" fillId="0" borderId="1" applyNumberFormat="0" applyAlignment="0" applyProtection="0">
      <alignment horizontal="left" vertical="center"/>
    </xf>
    <xf numFmtId="0" fontId="8" fillId="0" borderId="2">
      <alignment horizontal="left" vertical="center"/>
    </xf>
    <xf numFmtId="0" fontId="20" fillId="0" borderId="0"/>
    <xf numFmtId="0" fontId="20" fillId="0" borderId="0"/>
    <xf numFmtId="177" fontId="11" fillId="0" borderId="0" applyFill="0" applyBorder="0" applyAlignment="0"/>
    <xf numFmtId="177" fontId="11" fillId="0" borderId="0" applyFill="0" applyBorder="0" applyAlignment="0"/>
    <xf numFmtId="177" fontId="11" fillId="0" borderId="0" applyFill="0" applyBorder="0" applyAlignment="0"/>
    <xf numFmtId="174" fontId="11" fillId="0" borderId="0" applyFill="0" applyBorder="0" applyAlignment="0"/>
    <xf numFmtId="177" fontId="11" fillId="0" borderId="0" applyFill="0" applyBorder="0" applyAlignment="0"/>
    <xf numFmtId="170" fontId="12" fillId="0" borderId="0"/>
    <xf numFmtId="0" fontId="9" fillId="0" borderId="0"/>
    <xf numFmtId="0" fontId="2" fillId="0" borderId="0"/>
    <xf numFmtId="9" fontId="1" fillId="0" borderId="0" applyFont="0" applyFill="0" applyBorder="0" applyAlignment="0" applyProtection="0"/>
    <xf numFmtId="16" fontId="1" fillId="0" borderId="0" applyFont="0" applyFill="0" applyBorder="0" applyAlignment="0" applyProtection="0"/>
    <xf numFmtId="173" fontId="11" fillId="0" borderId="0" applyFont="0" applyFill="0" applyBorder="0" applyAlignment="0" applyProtection="0"/>
    <xf numFmtId="9" fontId="9" fillId="0" borderId="0" applyFont="0" applyFill="0" applyBorder="0" applyAlignment="0" applyProtection="0"/>
    <xf numFmtId="177" fontId="11" fillId="0" borderId="0" applyFill="0" applyBorder="0" applyAlignment="0"/>
    <xf numFmtId="177" fontId="11" fillId="0" borderId="0" applyFill="0" applyBorder="0" applyAlignment="0"/>
    <xf numFmtId="177" fontId="11" fillId="0" borderId="0" applyFill="0" applyBorder="0" applyAlignment="0"/>
    <xf numFmtId="174" fontId="11" fillId="0" borderId="0" applyFill="0" applyBorder="0" applyAlignment="0"/>
    <xf numFmtId="177" fontId="11" fillId="0" borderId="0" applyFill="0" applyBorder="0" applyAlignment="0"/>
    <xf numFmtId="49" fontId="6" fillId="0" borderId="0" applyFill="0" applyBorder="0" applyAlignment="0"/>
    <xf numFmtId="175" fontId="1" fillId="0" borderId="0" applyFill="0" applyBorder="0" applyAlignment="0"/>
    <xf numFmtId="176" fontId="1" fillId="0" borderId="0" applyFill="0" applyBorder="0" applyAlignment="0"/>
    <xf numFmtId="0" fontId="11" fillId="2" borderId="0"/>
  </cellStyleXfs>
  <cellXfs count="585">
    <xf numFmtId="0" fontId="0" fillId="0" borderId="0" xfId="0"/>
    <xf numFmtId="0" fontId="2" fillId="0" borderId="0" xfId="0" applyFont="1"/>
    <xf numFmtId="0" fontId="6" fillId="0" borderId="0" xfId="0" applyFont="1"/>
    <xf numFmtId="0" fontId="0" fillId="0" borderId="0" xfId="0" applyAlignment="1">
      <alignment horizontal="center"/>
    </xf>
    <xf numFmtId="0" fontId="6" fillId="0" borderId="0" xfId="0" applyFont="1" applyAlignment="1">
      <alignment horizontal="center"/>
    </xf>
    <xf numFmtId="0" fontId="8" fillId="0" borderId="0" xfId="0" applyFont="1"/>
    <xf numFmtId="0" fontId="2" fillId="0" borderId="0" xfId="0" applyFont="1" applyAlignment="1">
      <alignment horizontal="center"/>
    </xf>
    <xf numFmtId="169" fontId="2" fillId="0" borderId="0" xfId="0" applyNumberFormat="1" applyFont="1" applyAlignment="1">
      <alignment horizontal="center"/>
    </xf>
    <xf numFmtId="0" fontId="5" fillId="0" borderId="0" xfId="0" applyFont="1"/>
    <xf numFmtId="0" fontId="8" fillId="0" borderId="0" xfId="0" applyFont="1" applyAlignment="1">
      <alignment horizontal="center"/>
    </xf>
    <xf numFmtId="169" fontId="8" fillId="0" borderId="0" xfId="0" applyNumberFormat="1" applyFont="1" applyAlignment="1">
      <alignment horizontal="right"/>
    </xf>
    <xf numFmtId="0" fontId="10" fillId="0" borderId="0" xfId="0" applyFont="1" applyAlignment="1" applyProtection="1">
      <alignment horizontal="center"/>
      <protection locked="0"/>
    </xf>
    <xf numFmtId="0" fontId="2" fillId="0" borderId="0" xfId="0" applyFont="1" applyAlignment="1">
      <alignment horizontal="right"/>
    </xf>
    <xf numFmtId="0" fontId="8" fillId="0" borderId="0" xfId="0" applyFont="1" applyAlignment="1">
      <alignment horizontal="left"/>
    </xf>
    <xf numFmtId="0" fontId="2" fillId="0" borderId="0" xfId="0" applyFont="1" applyAlignment="1">
      <alignment horizontal="left"/>
    </xf>
    <xf numFmtId="165" fontId="2" fillId="0" borderId="0" xfId="0" applyNumberFormat="1" applyFont="1" applyAlignment="1">
      <alignment horizontal="right"/>
    </xf>
    <xf numFmtId="165" fontId="7" fillId="0" borderId="0" xfId="0" applyNumberFormat="1" applyFont="1" applyAlignment="1">
      <alignment horizontal="right"/>
    </xf>
    <xf numFmtId="0" fontId="8" fillId="0" borderId="0" xfId="0" applyFont="1" applyAlignment="1">
      <alignment horizontal="right"/>
    </xf>
    <xf numFmtId="0" fontId="2" fillId="0" borderId="0" xfId="0" applyFont="1" applyAlignment="1">
      <alignment wrapText="1"/>
    </xf>
    <xf numFmtId="0" fontId="2" fillId="0" borderId="3" xfId="0" applyFont="1" applyBorder="1"/>
    <xf numFmtId="0" fontId="2" fillId="0" borderId="3" xfId="0" applyFont="1" applyBorder="1" applyAlignment="1">
      <alignment horizontal="center"/>
    </xf>
    <xf numFmtId="0" fontId="2" fillId="3" borderId="3" xfId="0" applyFont="1" applyFill="1" applyBorder="1"/>
    <xf numFmtId="169" fontId="2" fillId="3" borderId="3" xfId="0" applyNumberFormat="1" applyFont="1" applyFill="1" applyBorder="1" applyAlignment="1">
      <alignment horizontal="right"/>
    </xf>
    <xf numFmtId="0" fontId="2" fillId="0" borderId="4" xfId="0" applyFont="1" applyBorder="1"/>
    <xf numFmtId="0" fontId="14" fillId="0" borderId="0" xfId="0" applyFont="1" applyAlignment="1">
      <alignment horizontal="left"/>
    </xf>
    <xf numFmtId="0" fontId="6" fillId="0" borderId="0" xfId="0" applyFont="1" applyAlignment="1" applyProtection="1">
      <alignment horizontal="left"/>
      <protection locked="0"/>
    </xf>
    <xf numFmtId="0" fontId="6" fillId="0" borderId="0" xfId="0" applyFont="1" applyAlignment="1">
      <alignment horizontal="right"/>
    </xf>
    <xf numFmtId="166" fontId="9" fillId="3" borderId="0" xfId="0" applyNumberFormat="1" applyFont="1" applyFill="1" applyAlignment="1" applyProtection="1">
      <alignment horizontal="center"/>
      <protection locked="0"/>
    </xf>
    <xf numFmtId="166" fontId="10" fillId="0" borderId="0" xfId="0" applyNumberFormat="1" applyFont="1" applyAlignment="1" applyProtection="1">
      <alignment horizontal="center"/>
      <protection locked="0"/>
    </xf>
    <xf numFmtId="10" fontId="10" fillId="0" borderId="0" xfId="0" applyNumberFormat="1" applyFont="1" applyAlignment="1">
      <alignment horizontal="center"/>
    </xf>
    <xf numFmtId="8" fontId="9" fillId="3" borderId="0" xfId="37" applyNumberFormat="1" applyFont="1" applyFill="1" applyAlignment="1" applyProtection="1">
      <alignment horizontal="center"/>
      <protection locked="0"/>
    </xf>
    <xf numFmtId="0" fontId="6" fillId="0" borderId="0" xfId="0" applyFont="1" applyAlignment="1" applyProtection="1">
      <alignment horizontal="center"/>
      <protection locked="0"/>
    </xf>
    <xf numFmtId="0" fontId="9" fillId="3" borderId="0" xfId="0" applyFont="1" applyFill="1" applyAlignment="1" applyProtection="1">
      <alignment horizontal="center"/>
      <protection locked="0"/>
    </xf>
    <xf numFmtId="0" fontId="6" fillId="3" borderId="0" xfId="0" applyFont="1" applyFill="1" applyAlignment="1" applyProtection="1">
      <alignment horizontal="center"/>
      <protection locked="0"/>
    </xf>
    <xf numFmtId="0" fontId="6" fillId="0" borderId="0" xfId="0" applyFont="1" applyAlignment="1">
      <alignment horizontal="left"/>
    </xf>
    <xf numFmtId="164" fontId="9" fillId="3" borderId="0" xfId="0" applyNumberFormat="1" applyFont="1" applyFill="1" applyAlignment="1" applyProtection="1">
      <alignment horizontal="center"/>
      <protection locked="0"/>
    </xf>
    <xf numFmtId="164" fontId="9" fillId="0" borderId="0" xfId="0" applyNumberFormat="1" applyFont="1" applyAlignment="1" applyProtection="1">
      <alignment horizontal="center"/>
      <protection locked="0"/>
    </xf>
    <xf numFmtId="10" fontId="9" fillId="3" borderId="0" xfId="37" applyNumberFormat="1" applyFont="1" applyFill="1" applyAlignment="1" applyProtection="1">
      <alignment horizontal="center"/>
      <protection locked="0"/>
    </xf>
    <xf numFmtId="10" fontId="9" fillId="0" borderId="0" xfId="37" applyNumberFormat="1" applyFont="1" applyAlignment="1" applyProtection="1">
      <alignment horizontal="center"/>
      <protection locked="0"/>
    </xf>
    <xf numFmtId="9" fontId="9" fillId="0" borderId="0" xfId="37" applyFont="1" applyAlignment="1" applyProtection="1">
      <alignment horizontal="center"/>
      <protection locked="0"/>
    </xf>
    <xf numFmtId="37" fontId="9" fillId="3" borderId="0" xfId="0" applyNumberFormat="1" applyFont="1" applyFill="1" applyAlignment="1" applyProtection="1">
      <alignment horizontal="center"/>
      <protection locked="0"/>
    </xf>
    <xf numFmtId="1" fontId="9" fillId="0" borderId="0" xfId="0" applyNumberFormat="1" applyFont="1" applyAlignment="1" applyProtection="1">
      <alignment horizontal="center"/>
      <protection locked="0"/>
    </xf>
    <xf numFmtId="0" fontId="9" fillId="0" borderId="0" xfId="0" applyFont="1" applyAlignment="1" applyProtection="1">
      <alignment horizontal="center"/>
      <protection locked="0"/>
    </xf>
    <xf numFmtId="164" fontId="6" fillId="0" borderId="0" xfId="0" applyNumberFormat="1" applyFont="1" applyAlignment="1" applyProtection="1">
      <alignment horizontal="center"/>
      <protection locked="0"/>
    </xf>
    <xf numFmtId="2" fontId="9" fillId="3" borderId="0" xfId="0" applyNumberFormat="1" applyFont="1" applyFill="1" applyAlignment="1">
      <alignment horizontal="center"/>
    </xf>
    <xf numFmtId="170" fontId="6" fillId="0" borderId="0" xfId="0" applyNumberFormat="1" applyFont="1" applyAlignment="1">
      <alignment horizontal="center"/>
    </xf>
    <xf numFmtId="2" fontId="6" fillId="0" borderId="0" xfId="0" applyNumberFormat="1" applyFont="1" applyAlignment="1">
      <alignment horizontal="center"/>
    </xf>
    <xf numFmtId="169" fontId="6" fillId="0" borderId="0" xfId="0" applyNumberFormat="1" applyFont="1" applyAlignment="1">
      <alignment horizontal="center"/>
    </xf>
    <xf numFmtId="166" fontId="6" fillId="0" borderId="0" xfId="0" applyNumberFormat="1" applyFont="1" applyAlignment="1">
      <alignment horizontal="left"/>
    </xf>
    <xf numFmtId="169" fontId="6" fillId="0" borderId="5" xfId="0" applyNumberFormat="1" applyFont="1" applyBorder="1" applyAlignment="1">
      <alignment horizontal="center"/>
    </xf>
    <xf numFmtId="10" fontId="14" fillId="0" borderId="0" xfId="0" applyNumberFormat="1" applyFont="1" applyAlignment="1">
      <alignment horizontal="center"/>
    </xf>
    <xf numFmtId="166" fontId="14" fillId="0" borderId="0" xfId="0" applyNumberFormat="1" applyFont="1" applyAlignment="1" applyProtection="1">
      <alignment horizontal="center"/>
      <protection locked="0"/>
    </xf>
    <xf numFmtId="179" fontId="6" fillId="0" borderId="0" xfId="0" applyNumberFormat="1" applyFont="1" applyAlignment="1">
      <alignment horizontal="center"/>
    </xf>
    <xf numFmtId="0" fontId="16" fillId="3" borderId="0" xfId="0" applyFont="1" applyFill="1" applyAlignment="1" applyProtection="1">
      <alignment horizontal="center"/>
      <protection locked="0"/>
    </xf>
    <xf numFmtId="164" fontId="16" fillId="3" borderId="0" xfId="0" applyNumberFormat="1" applyFont="1" applyFill="1" applyAlignment="1" applyProtection="1">
      <alignment horizontal="center"/>
      <protection locked="0"/>
    </xf>
    <xf numFmtId="10" fontId="16" fillId="3" borderId="0" xfId="37" applyNumberFormat="1" applyFont="1" applyFill="1" applyAlignment="1" applyProtection="1">
      <alignment horizontal="center"/>
      <protection locked="0"/>
    </xf>
    <xf numFmtId="37" fontId="16" fillId="3" borderId="0" xfId="0" applyNumberFormat="1" applyFont="1" applyFill="1" applyAlignment="1" applyProtection="1">
      <alignment horizontal="center"/>
      <protection locked="0"/>
    </xf>
    <xf numFmtId="0" fontId="16" fillId="0" borderId="0" xfId="0" applyFont="1" applyAlignment="1" applyProtection="1">
      <alignment horizontal="center"/>
      <protection locked="0"/>
    </xf>
    <xf numFmtId="0" fontId="17" fillId="0" borderId="0" xfId="0" applyFont="1" applyAlignment="1" applyProtection="1">
      <alignment horizontal="center"/>
      <protection locked="0"/>
    </xf>
    <xf numFmtId="2" fontId="16" fillId="3" borderId="0" xfId="0" applyNumberFormat="1" applyFont="1" applyFill="1" applyAlignment="1">
      <alignment horizontal="center"/>
    </xf>
    <xf numFmtId="0" fontId="0" fillId="0" borderId="0" xfId="0" applyAlignment="1">
      <alignment horizontal="right"/>
    </xf>
    <xf numFmtId="10" fontId="9" fillId="3" borderId="0" xfId="0" applyNumberFormat="1" applyFont="1" applyFill="1" applyAlignment="1">
      <alignment horizontal="center"/>
    </xf>
    <xf numFmtId="0" fontId="2" fillId="0" borderId="6" xfId="0" applyFont="1" applyBorder="1" applyAlignment="1">
      <alignment horizontal="right"/>
    </xf>
    <xf numFmtId="171" fontId="0" fillId="0" borderId="0" xfId="0" applyNumberFormat="1" applyAlignment="1">
      <alignment horizontal="right"/>
    </xf>
    <xf numFmtId="171" fontId="0" fillId="0" borderId="2" xfId="0" applyNumberFormat="1" applyBorder="1" applyAlignment="1">
      <alignment horizontal="right"/>
    </xf>
    <xf numFmtId="4" fontId="2" fillId="0" borderId="0" xfId="0" applyNumberFormat="1" applyFont="1"/>
    <xf numFmtId="0" fontId="1" fillId="0" borderId="0" xfId="0" applyFont="1"/>
    <xf numFmtId="0" fontId="21" fillId="0" borderId="0" xfId="0" applyFont="1"/>
    <xf numFmtId="0" fontId="21" fillId="0" borderId="0" xfId="0" applyFont="1" applyAlignment="1">
      <alignment horizontal="left"/>
    </xf>
    <xf numFmtId="0" fontId="1" fillId="0" borderId="0" xfId="0" applyFont="1" applyAlignment="1">
      <alignment horizontal="left"/>
    </xf>
    <xf numFmtId="181" fontId="22" fillId="0" borderId="0" xfId="0" applyNumberFormat="1" applyFont="1" applyAlignment="1">
      <alignment horizontal="left"/>
    </xf>
    <xf numFmtId="0" fontId="23" fillId="0" borderId="0" xfId="0" applyFont="1" applyAlignment="1">
      <alignment horizontal="center"/>
    </xf>
    <xf numFmtId="0" fontId="8" fillId="0" borderId="7" xfId="0" applyFont="1" applyBorder="1" applyAlignment="1">
      <alignment horizontal="right"/>
    </xf>
    <xf numFmtId="0" fontId="21" fillId="0" borderId="2" xfId="0" applyFont="1" applyBorder="1" applyAlignment="1">
      <alignment horizontal="center" vertical="top" wrapText="1"/>
    </xf>
    <xf numFmtId="0" fontId="2" fillId="0" borderId="7" xfId="0" applyFont="1" applyBorder="1"/>
    <xf numFmtId="169" fontId="21" fillId="0" borderId="7" xfId="14" applyNumberFormat="1" applyFont="1" applyBorder="1" applyAlignment="1">
      <alignment horizontal="right"/>
    </xf>
    <xf numFmtId="167" fontId="21" fillId="0" borderId="7" xfId="14" applyFont="1" applyBorder="1" applyAlignment="1">
      <alignment horizontal="right"/>
    </xf>
    <xf numFmtId="181" fontId="21" fillId="0" borderId="0" xfId="0" applyNumberFormat="1" applyFont="1" applyAlignment="1">
      <alignment horizontal="left"/>
    </xf>
    <xf numFmtId="3" fontId="21" fillId="0" borderId="8" xfId="0" applyNumberFormat="1" applyFont="1" applyBorder="1" applyAlignment="1">
      <alignment horizontal="center"/>
    </xf>
    <xf numFmtId="3" fontId="21" fillId="0" borderId="0" xfId="0" applyNumberFormat="1" applyFont="1" applyAlignment="1">
      <alignment horizontal="center"/>
    </xf>
    <xf numFmtId="3" fontId="21" fillId="0" borderId="9" xfId="0" applyNumberFormat="1" applyFont="1" applyBorder="1" applyAlignment="1">
      <alignment horizontal="center"/>
    </xf>
    <xf numFmtId="3" fontId="21" fillId="0" borderId="10" xfId="0" applyNumberFormat="1" applyFont="1" applyBorder="1" applyAlignment="1">
      <alignment horizontal="center"/>
    </xf>
    <xf numFmtId="3" fontId="21" fillId="0" borderId="6" xfId="0" applyNumberFormat="1" applyFont="1" applyBorder="1" applyAlignment="1">
      <alignment horizontal="center"/>
    </xf>
    <xf numFmtId="3" fontId="21" fillId="0" borderId="11" xfId="0" applyNumberFormat="1" applyFont="1" applyBorder="1" applyAlignment="1">
      <alignment horizontal="center"/>
    </xf>
    <xf numFmtId="14" fontId="22" fillId="0" borderId="0" xfId="0" applyNumberFormat="1" applyFont="1" applyAlignment="1">
      <alignment horizontal="left"/>
    </xf>
    <xf numFmtId="169" fontId="21" fillId="0" borderId="7" xfId="0" applyNumberFormat="1" applyFont="1" applyBorder="1" applyAlignment="1">
      <alignment horizontal="right"/>
    </xf>
    <xf numFmtId="14" fontId="21" fillId="0" borderId="12" xfId="0" applyNumberFormat="1" applyFont="1" applyBorder="1" applyAlignment="1">
      <alignment horizontal="left"/>
    </xf>
    <xf numFmtId="0" fontId="21" fillId="0" borderId="7" xfId="0" applyFont="1" applyBorder="1" applyAlignment="1">
      <alignment horizontal="center"/>
    </xf>
    <xf numFmtId="49" fontId="21" fillId="0" borderId="7" xfId="0" applyNumberFormat="1" applyFont="1" applyBorder="1" applyAlignment="1">
      <alignment horizontal="center"/>
    </xf>
    <xf numFmtId="14" fontId="21" fillId="0" borderId="13" xfId="0" applyNumberFormat="1" applyFont="1" applyBorder="1" applyAlignment="1">
      <alignment horizontal="left"/>
    </xf>
    <xf numFmtId="169" fontId="21" fillId="0" borderId="14" xfId="14" applyNumberFormat="1" applyFont="1" applyFill="1" applyBorder="1" applyAlignment="1">
      <alignment horizontal="right"/>
    </xf>
    <xf numFmtId="14" fontId="21" fillId="0" borderId="0" xfId="0" applyNumberFormat="1" applyFont="1" applyAlignment="1">
      <alignment horizontal="left"/>
    </xf>
    <xf numFmtId="169" fontId="21" fillId="0" borderId="0" xfId="0" applyNumberFormat="1" applyFont="1" applyAlignment="1">
      <alignment horizontal="center"/>
    </xf>
    <xf numFmtId="0" fontId="21" fillId="0" borderId="7" xfId="0" applyFont="1" applyBorder="1"/>
    <xf numFmtId="0" fontId="8" fillId="0" borderId="7" xfId="0" applyFont="1" applyBorder="1"/>
    <xf numFmtId="169" fontId="21" fillId="0" borderId="7" xfId="14" applyNumberFormat="1" applyFont="1" applyBorder="1" applyAlignment="1">
      <alignment horizontal="right" wrapText="1"/>
    </xf>
    <xf numFmtId="169" fontId="21" fillId="0" borderId="7" xfId="0" applyNumberFormat="1" applyFont="1" applyBorder="1" applyAlignment="1">
      <alignment horizontal="right" wrapText="1"/>
    </xf>
    <xf numFmtId="0" fontId="21" fillId="0" borderId="7" xfId="0" applyFont="1" applyBorder="1" applyAlignment="1">
      <alignment horizontal="right"/>
    </xf>
    <xf numFmtId="0" fontId="21" fillId="0" borderId="0" xfId="0" applyFont="1" applyAlignment="1">
      <alignment horizontal="right"/>
    </xf>
    <xf numFmtId="0" fontId="8" fillId="3" borderId="0" xfId="0" applyFont="1" applyFill="1" applyAlignment="1">
      <alignment horizontal="left" vertical="center"/>
    </xf>
    <xf numFmtId="0" fontId="13" fillId="3" borderId="0" xfId="0" applyFont="1" applyFill="1"/>
    <xf numFmtId="169" fontId="13" fillId="3" borderId="0" xfId="0" applyNumberFormat="1" applyFont="1" applyFill="1" applyAlignment="1">
      <alignment horizontal="right"/>
    </xf>
    <xf numFmtId="167" fontId="13" fillId="3" borderId="0" xfId="0" applyNumberFormat="1" applyFont="1" applyFill="1" applyAlignment="1">
      <alignment horizontal="right"/>
    </xf>
    <xf numFmtId="0" fontId="13" fillId="3" borderId="0" xfId="0" applyFont="1" applyFill="1" applyAlignment="1">
      <alignment horizontal="right"/>
    </xf>
    <xf numFmtId="0" fontId="2" fillId="0" borderId="7" xfId="0" applyFont="1" applyBorder="1" applyAlignment="1">
      <alignment horizontal="left" vertical="center"/>
    </xf>
    <xf numFmtId="0" fontId="21" fillId="0" borderId="12" xfId="0" applyFont="1" applyBorder="1" applyAlignment="1">
      <alignment horizontal="center" vertical="top" wrapText="1"/>
    </xf>
    <xf numFmtId="0" fontId="21" fillId="0" borderId="15" xfId="0" applyFont="1" applyBorder="1" applyAlignment="1">
      <alignment horizontal="center" vertical="top" wrapText="1"/>
    </xf>
    <xf numFmtId="0" fontId="21" fillId="0" borderId="7" xfId="0" applyFont="1" applyBorder="1" applyAlignment="1">
      <alignment horizontal="center" vertical="top"/>
    </xf>
    <xf numFmtId="181" fontId="0" fillId="0" borderId="10" xfId="0" applyNumberFormat="1" applyBorder="1" applyAlignment="1">
      <alignment horizontal="left"/>
    </xf>
    <xf numFmtId="181" fontId="0" fillId="0" borderId="8" xfId="0" applyNumberFormat="1" applyBorder="1" applyAlignment="1">
      <alignment horizontal="left"/>
    </xf>
    <xf numFmtId="0" fontId="0" fillId="0" borderId="15" xfId="0" applyBorder="1" applyAlignment="1">
      <alignment horizontal="center" vertical="top" wrapText="1"/>
    </xf>
    <xf numFmtId="2" fontId="0" fillId="0" borderId="0" xfId="0" applyNumberFormat="1"/>
    <xf numFmtId="49" fontId="0" fillId="0" borderId="0" xfId="0" applyNumberFormat="1" applyAlignment="1">
      <alignment horizontal="center"/>
    </xf>
    <xf numFmtId="2" fontId="0" fillId="0" borderId="16" xfId="0" applyNumberFormat="1" applyBorder="1"/>
    <xf numFmtId="2" fontId="0" fillId="0" borderId="6" xfId="0" applyNumberFormat="1" applyBorder="1"/>
    <xf numFmtId="3" fontId="0" fillId="0" borderId="9" xfId="0" applyNumberFormat="1" applyBorder="1" applyAlignment="1">
      <alignment horizontal="center"/>
    </xf>
    <xf numFmtId="3" fontId="0" fillId="0" borderId="11" xfId="0" applyNumberFormat="1" applyBorder="1" applyAlignment="1">
      <alignment horizontal="center"/>
    </xf>
    <xf numFmtId="14" fontId="21" fillId="0" borderId="0" xfId="0" applyNumberFormat="1" applyFont="1"/>
    <xf numFmtId="0" fontId="21" fillId="0" borderId="14" xfId="0" applyFont="1" applyBorder="1" applyAlignment="1">
      <alignment horizontal="center"/>
    </xf>
    <xf numFmtId="0" fontId="21" fillId="0" borderId="17" xfId="0" applyFont="1" applyBorder="1" applyAlignment="1">
      <alignment horizontal="center"/>
    </xf>
    <xf numFmtId="0" fontId="0" fillId="0" borderId="7" xfId="0" applyBorder="1" applyAlignment="1">
      <alignment horizontal="center" vertical="top" wrapText="1"/>
    </xf>
    <xf numFmtId="3" fontId="0" fillId="0" borderId="14" xfId="0" applyNumberFormat="1" applyBorder="1" applyAlignment="1">
      <alignment horizontal="center"/>
    </xf>
    <xf numFmtId="3" fontId="0" fillId="0" borderId="17" xfId="0" applyNumberFormat="1" applyBorder="1" applyAlignment="1">
      <alignment horizontal="center"/>
    </xf>
    <xf numFmtId="0" fontId="8" fillId="3" borderId="0" xfId="0" applyFont="1" applyFill="1" applyAlignment="1">
      <alignment horizontal="right" wrapText="1"/>
    </xf>
    <xf numFmtId="0" fontId="3" fillId="0" borderId="0" xfId="0" applyFont="1" applyAlignment="1">
      <alignment horizontal="left"/>
    </xf>
    <xf numFmtId="0" fontId="14" fillId="0" borderId="0" xfId="0" applyFont="1"/>
    <xf numFmtId="0" fontId="9" fillId="0" borderId="0" xfId="0" applyFont="1"/>
    <xf numFmtId="0" fontId="9" fillId="0" borderId="0" xfId="0" applyFont="1" applyAlignment="1">
      <alignment horizontal="center"/>
    </xf>
    <xf numFmtId="0" fontId="6" fillId="0" borderId="16" xfId="0" applyFont="1" applyBorder="1" applyAlignment="1">
      <alignment horizontal="left"/>
    </xf>
    <xf numFmtId="0" fontId="6" fillId="0" borderId="6" xfId="0" applyFont="1" applyBorder="1" applyAlignment="1">
      <alignment horizontal="left"/>
    </xf>
    <xf numFmtId="170" fontId="6" fillId="0" borderId="18" xfId="0" applyNumberFormat="1" applyFont="1" applyBorder="1" applyAlignment="1">
      <alignment horizontal="center"/>
    </xf>
    <xf numFmtId="170" fontId="6" fillId="0" borderId="16" xfId="0" applyNumberFormat="1" applyFont="1" applyBorder="1" applyAlignment="1">
      <alignment horizontal="center"/>
    </xf>
    <xf numFmtId="170" fontId="6" fillId="0" borderId="19" xfId="0" applyNumberFormat="1" applyFont="1" applyBorder="1" applyAlignment="1">
      <alignment horizontal="center"/>
    </xf>
    <xf numFmtId="0" fontId="22" fillId="0" borderId="2" xfId="0" applyFont="1" applyBorder="1" applyAlignment="1">
      <alignment horizontal="left"/>
    </xf>
    <xf numFmtId="166" fontId="22" fillId="0" borderId="2" xfId="0" applyNumberFormat="1" applyFont="1" applyBorder="1" applyAlignment="1">
      <alignment horizontal="center"/>
    </xf>
    <xf numFmtId="170" fontId="6" fillId="0" borderId="8" xfId="0" applyNumberFormat="1" applyFont="1" applyBorder="1" applyAlignment="1">
      <alignment horizontal="center"/>
    </xf>
    <xf numFmtId="170" fontId="6" fillId="0" borderId="9" xfId="0" applyNumberFormat="1" applyFont="1" applyBorder="1" applyAlignment="1">
      <alignment horizontal="center"/>
    </xf>
    <xf numFmtId="170" fontId="6" fillId="0" borderId="10" xfId="0" applyNumberFormat="1" applyFont="1" applyBorder="1" applyAlignment="1">
      <alignment horizontal="center"/>
    </xf>
    <xf numFmtId="170" fontId="6" fillId="0" borderId="6" xfId="0" applyNumberFormat="1" applyFont="1" applyBorder="1" applyAlignment="1">
      <alignment horizontal="center"/>
    </xf>
    <xf numFmtId="170" fontId="6" fillId="0" borderId="11" xfId="0" applyNumberFormat="1" applyFont="1" applyBorder="1" applyAlignment="1">
      <alignment horizontal="center"/>
    </xf>
    <xf numFmtId="0" fontId="3" fillId="0" borderId="20" xfId="0" applyFont="1" applyBorder="1" applyAlignment="1">
      <alignment horizontal="left"/>
    </xf>
    <xf numFmtId="0" fontId="6" fillId="0" borderId="16" xfId="0" applyFont="1" applyBorder="1" applyAlignment="1">
      <alignment horizontal="center"/>
    </xf>
    <xf numFmtId="170" fontId="6" fillId="0" borderId="20" xfId="0" applyNumberFormat="1" applyFont="1" applyBorder="1" applyAlignment="1">
      <alignment horizontal="center"/>
    </xf>
    <xf numFmtId="0" fontId="6" fillId="0" borderId="18" xfId="0" applyFont="1" applyBorder="1" applyAlignment="1">
      <alignment horizontal="center"/>
    </xf>
    <xf numFmtId="170" fontId="6" fillId="0" borderId="21" xfId="0" applyNumberFormat="1" applyFont="1" applyBorder="1" applyAlignment="1">
      <alignment horizontal="center"/>
    </xf>
    <xf numFmtId="0" fontId="6" fillId="0" borderId="19" xfId="0" applyFont="1" applyBorder="1" applyAlignment="1">
      <alignment horizontal="center"/>
    </xf>
    <xf numFmtId="170" fontId="6" fillId="0" borderId="22" xfId="0" applyNumberFormat="1" applyFont="1" applyBorder="1" applyAlignment="1">
      <alignment horizontal="center"/>
    </xf>
    <xf numFmtId="0" fontId="7" fillId="0" borderId="6" xfId="0" applyFont="1" applyBorder="1" applyAlignment="1">
      <alignment horizontal="left"/>
    </xf>
    <xf numFmtId="0" fontId="6" fillId="0" borderId="18" xfId="0" applyFont="1" applyBorder="1" applyAlignment="1">
      <alignment horizontal="left"/>
    </xf>
    <xf numFmtId="0" fontId="6" fillId="0" borderId="8" xfId="0" applyFont="1" applyBorder="1" applyAlignment="1">
      <alignment horizontal="left"/>
    </xf>
    <xf numFmtId="0" fontId="6" fillId="0" borderId="10" xfId="0" applyFont="1" applyBorder="1" applyAlignment="1">
      <alignment horizontal="left"/>
    </xf>
    <xf numFmtId="0" fontId="22" fillId="0" borderId="0" xfId="0" applyFont="1" applyAlignment="1">
      <alignment horizontal="left"/>
    </xf>
    <xf numFmtId="0" fontId="13" fillId="0" borderId="0" xfId="0" applyFont="1" applyAlignment="1">
      <alignment horizontal="left"/>
    </xf>
    <xf numFmtId="0" fontId="3" fillId="0" borderId="0" xfId="0" applyFont="1" applyAlignment="1">
      <alignment horizontal="center"/>
    </xf>
    <xf numFmtId="166" fontId="13" fillId="0" borderId="0" xfId="0" applyNumberFormat="1" applyFont="1" applyAlignment="1">
      <alignment horizontal="center"/>
    </xf>
    <xf numFmtId="0" fontId="3" fillId="0" borderId="6" xfId="0" applyFont="1" applyBorder="1" applyAlignment="1">
      <alignment horizontal="left"/>
    </xf>
    <xf numFmtId="9" fontId="6" fillId="3" borderId="0" xfId="0" applyNumberFormat="1" applyFont="1" applyFill="1" applyAlignment="1">
      <alignment horizontal="center"/>
    </xf>
    <xf numFmtId="169" fontId="2" fillId="0" borderId="3" xfId="0" applyNumberFormat="1" applyFont="1" applyBorder="1" applyAlignment="1">
      <alignment horizontal="center"/>
    </xf>
    <xf numFmtId="0" fontId="0" fillId="0" borderId="14" xfId="0" applyBorder="1"/>
    <xf numFmtId="2" fontId="0" fillId="0" borderId="17" xfId="0" applyNumberFormat="1" applyBorder="1"/>
    <xf numFmtId="0" fontId="2" fillId="0" borderId="14" xfId="0" applyFont="1" applyBorder="1"/>
    <xf numFmtId="0" fontId="21" fillId="0" borderId="12" xfId="0" applyFont="1" applyBorder="1" applyAlignment="1">
      <alignment wrapText="1"/>
    </xf>
    <xf numFmtId="0" fontId="21" fillId="0" borderId="7" xfId="0" applyFont="1" applyBorder="1" applyAlignment="1">
      <alignment horizontal="left" vertical="top" wrapText="1"/>
    </xf>
    <xf numFmtId="9" fontId="21" fillId="3" borderId="7" xfId="0" applyNumberFormat="1" applyFont="1" applyFill="1" applyBorder="1" applyAlignment="1">
      <alignment wrapText="1"/>
    </xf>
    <xf numFmtId="0" fontId="21" fillId="0" borderId="7" xfId="0" applyFont="1" applyBorder="1" applyAlignment="1">
      <alignment wrapText="1"/>
    </xf>
    <xf numFmtId="0" fontId="21" fillId="0" borderId="7" xfId="0" applyFont="1" applyBorder="1" applyAlignment="1">
      <alignment horizontal="left" wrapText="1"/>
    </xf>
    <xf numFmtId="0" fontId="21" fillId="0" borderId="23" xfId="0" applyFont="1" applyBorder="1"/>
    <xf numFmtId="0" fontId="21" fillId="0" borderId="14" xfId="0" applyFont="1" applyBorder="1"/>
    <xf numFmtId="0" fontId="21" fillId="0" borderId="17" xfId="0" applyFont="1" applyBorder="1"/>
    <xf numFmtId="14" fontId="0" fillId="0" borderId="23" xfId="0" applyNumberFormat="1" applyBorder="1" applyAlignment="1">
      <alignment horizontal="right"/>
    </xf>
    <xf numFmtId="14" fontId="0" fillId="0" borderId="14" xfId="0" applyNumberFormat="1" applyBorder="1" applyAlignment="1">
      <alignment horizontal="right"/>
    </xf>
    <xf numFmtId="14" fontId="0" fillId="0" borderId="17" xfId="0" applyNumberFormat="1" applyBorder="1" applyAlignment="1">
      <alignment horizontal="right"/>
    </xf>
    <xf numFmtId="2" fontId="0" fillId="0" borderId="23" xfId="0" applyNumberFormat="1" applyBorder="1"/>
    <xf numFmtId="2" fontId="0" fillId="0" borderId="14" xfId="0" applyNumberFormat="1" applyBorder="1"/>
    <xf numFmtId="0" fontId="23" fillId="0" borderId="0" xfId="0" applyFont="1"/>
    <xf numFmtId="14" fontId="23" fillId="0" borderId="0" xfId="0" applyNumberFormat="1" applyFont="1"/>
    <xf numFmtId="0" fontId="8" fillId="0" borderId="0" xfId="0" applyFont="1" applyAlignment="1">
      <alignment horizontal="right" wrapText="1"/>
    </xf>
    <xf numFmtId="169" fontId="9" fillId="0" borderId="0" xfId="0" applyNumberFormat="1" applyFont="1" applyAlignment="1">
      <alignment horizontal="center"/>
    </xf>
    <xf numFmtId="0" fontId="24" fillId="0" borderId="0" xfId="0" applyFont="1" applyAlignment="1">
      <alignment vertical="center" wrapText="1"/>
    </xf>
    <xf numFmtId="0" fontId="2" fillId="0" borderId="0" xfId="0" applyFont="1" applyAlignment="1">
      <alignment vertical="center" wrapText="1"/>
    </xf>
    <xf numFmtId="0" fontId="25" fillId="0" borderId="0" xfId="0" applyFont="1"/>
    <xf numFmtId="0" fontId="8" fillId="0" borderId="0" xfId="0" applyFont="1" applyAlignment="1">
      <alignment horizontal="left" wrapText="1"/>
    </xf>
    <xf numFmtId="0" fontId="2" fillId="0" borderId="0" xfId="0" applyFont="1" applyAlignment="1">
      <alignment horizontal="left" wrapText="1"/>
    </xf>
    <xf numFmtId="0" fontId="26" fillId="0" borderId="0" xfId="0" applyFont="1" applyAlignment="1">
      <alignment horizontal="left" wrapText="1"/>
    </xf>
    <xf numFmtId="0" fontId="27" fillId="0" borderId="0" xfId="0" applyFont="1"/>
    <xf numFmtId="9" fontId="0" fillId="0" borderId="0" xfId="0" applyNumberFormat="1" applyAlignment="1">
      <alignment horizontal="right"/>
    </xf>
    <xf numFmtId="171" fontId="8" fillId="0" borderId="0" xfId="0" applyNumberFormat="1" applyFont="1" applyAlignment="1">
      <alignment horizontal="right"/>
    </xf>
    <xf numFmtId="169" fontId="2" fillId="4" borderId="3" xfId="0" applyNumberFormat="1" applyFont="1" applyFill="1" applyBorder="1" applyAlignment="1">
      <alignment horizontal="right"/>
    </xf>
    <xf numFmtId="0" fontId="0" fillId="5" borderId="0" xfId="0" applyFill="1"/>
    <xf numFmtId="0" fontId="8" fillId="5" borderId="0" xfId="0" applyFont="1" applyFill="1"/>
    <xf numFmtId="0" fontId="28" fillId="0" borderId="0" xfId="0" applyFont="1"/>
    <xf numFmtId="0" fontId="8" fillId="5" borderId="0" xfId="0" applyFont="1" applyFill="1" applyAlignment="1">
      <alignment horizontal="left"/>
    </xf>
    <xf numFmtId="0" fontId="29" fillId="0" borderId="0" xfId="36" applyFont="1"/>
    <xf numFmtId="0" fontId="30" fillId="0" borderId="0" xfId="36" applyFont="1"/>
    <xf numFmtId="0" fontId="31" fillId="0" borderId="0" xfId="36" applyFont="1"/>
    <xf numFmtId="0" fontId="33" fillId="0" borderId="0" xfId="36" applyFont="1"/>
    <xf numFmtId="0" fontId="34" fillId="0" borderId="7" xfId="36" applyFont="1" applyBorder="1" applyAlignment="1">
      <alignment horizontal="left"/>
    </xf>
    <xf numFmtId="0" fontId="0" fillId="3" borderId="7" xfId="0" applyFill="1" applyBorder="1" applyAlignment="1">
      <alignment horizontal="center"/>
    </xf>
    <xf numFmtId="9" fontId="0" fillId="3" borderId="7" xfId="0" applyNumberFormat="1" applyFill="1" applyBorder="1" applyAlignment="1">
      <alignment horizontal="center"/>
    </xf>
    <xf numFmtId="0" fontId="35" fillId="6" borderId="7" xfId="36" applyFont="1" applyFill="1" applyBorder="1" applyAlignment="1">
      <alignment horizontal="center"/>
    </xf>
    <xf numFmtId="2" fontId="35" fillId="6" borderId="7" xfId="36" applyNumberFormat="1" applyFont="1" applyFill="1" applyBorder="1" applyAlignment="1">
      <alignment horizontal="center"/>
    </xf>
    <xf numFmtId="164" fontId="30" fillId="3" borderId="23" xfId="0" applyNumberFormat="1" applyFont="1" applyFill="1" applyBorder="1" applyAlignment="1" applyProtection="1">
      <alignment horizontal="center"/>
      <protection locked="0"/>
    </xf>
    <xf numFmtId="3" fontId="36" fillId="6" borderId="7" xfId="36" applyNumberFormat="1" applyFont="1" applyFill="1" applyBorder="1" applyAlignment="1">
      <alignment horizontal="center"/>
    </xf>
    <xf numFmtId="0" fontId="30" fillId="3" borderId="7" xfId="36" applyFont="1" applyFill="1" applyBorder="1" applyAlignment="1" applyProtection="1">
      <alignment horizontal="center"/>
      <protection locked="0"/>
    </xf>
    <xf numFmtId="169" fontId="36" fillId="6" borderId="7" xfId="36" applyNumberFormat="1" applyFont="1" applyFill="1" applyBorder="1" applyAlignment="1">
      <alignment horizontal="center"/>
    </xf>
    <xf numFmtId="0" fontId="36" fillId="6" borderId="7" xfId="36" applyFont="1" applyFill="1" applyBorder="1" applyAlignment="1">
      <alignment horizontal="center"/>
    </xf>
    <xf numFmtId="0" fontId="34" fillId="0" borderId="7" xfId="36" applyFont="1" applyBorder="1" applyAlignment="1">
      <alignment horizontal="center"/>
    </xf>
    <xf numFmtId="166" fontId="30" fillId="3" borderId="7" xfId="0" applyNumberFormat="1" applyFont="1" applyFill="1" applyBorder="1" applyAlignment="1" applyProtection="1">
      <alignment horizontal="center"/>
      <protection locked="0"/>
    </xf>
    <xf numFmtId="0" fontId="9" fillId="0" borderId="0" xfId="35"/>
    <xf numFmtId="4" fontId="30" fillId="3" borderId="7" xfId="36" applyNumberFormat="1" applyFont="1" applyFill="1" applyBorder="1" applyAlignment="1" applyProtection="1">
      <alignment horizontal="center"/>
      <protection locked="0"/>
    </xf>
    <xf numFmtId="166" fontId="30" fillId="3" borderId="23" xfId="0" applyNumberFormat="1" applyFont="1" applyFill="1" applyBorder="1" applyAlignment="1" applyProtection="1">
      <alignment horizontal="center"/>
      <protection locked="0"/>
    </xf>
    <xf numFmtId="169" fontId="30" fillId="3" borderId="7" xfId="36" applyNumberFormat="1" applyFont="1" applyFill="1" applyBorder="1" applyAlignment="1" applyProtection="1">
      <alignment horizontal="center"/>
      <protection locked="0"/>
    </xf>
    <xf numFmtId="0" fontId="35" fillId="0" borderId="0" xfId="36" applyFont="1" applyAlignment="1">
      <alignment horizontal="left"/>
    </xf>
    <xf numFmtId="0" fontId="34" fillId="0" borderId="2" xfId="36" applyFont="1" applyBorder="1" applyAlignment="1">
      <alignment horizontal="left"/>
    </xf>
    <xf numFmtId="0" fontId="30" fillId="0" borderId="2" xfId="36" applyFont="1" applyBorder="1" applyAlignment="1" applyProtection="1">
      <alignment horizontal="center"/>
      <protection locked="0"/>
    </xf>
    <xf numFmtId="0" fontId="30" fillId="0" borderId="0" xfId="35" applyFont="1"/>
    <xf numFmtId="171" fontId="35" fillId="6" borderId="7" xfId="36" applyNumberFormat="1" applyFont="1" applyFill="1" applyBorder="1" applyAlignment="1">
      <alignment horizontal="center"/>
    </xf>
    <xf numFmtId="3" fontId="30" fillId="3" borderId="7" xfId="36" applyNumberFormat="1" applyFont="1" applyFill="1" applyBorder="1" applyAlignment="1" applyProtection="1">
      <alignment horizontal="center"/>
      <protection locked="0"/>
    </xf>
    <xf numFmtId="0" fontId="30" fillId="0" borderId="0" xfId="36" applyFont="1" applyAlignment="1">
      <alignment horizontal="center"/>
    </xf>
    <xf numFmtId="0" fontId="37" fillId="0" borderId="0" xfId="36" applyFont="1"/>
    <xf numFmtId="1" fontId="30" fillId="0" borderId="0" xfId="36" applyNumberFormat="1" applyFont="1" applyAlignment="1">
      <alignment horizontal="center"/>
    </xf>
    <xf numFmtId="9" fontId="30" fillId="3" borderId="7" xfId="36" applyNumberFormat="1" applyFont="1" applyFill="1" applyBorder="1" applyAlignment="1" applyProtection="1">
      <alignment horizontal="center"/>
      <protection locked="0"/>
    </xf>
    <xf numFmtId="0" fontId="30" fillId="0" borderId="0" xfId="36" applyFont="1" applyAlignment="1">
      <alignment horizontal="right"/>
    </xf>
    <xf numFmtId="9" fontId="35" fillId="6" borderId="7" xfId="40" applyFont="1" applyFill="1" applyBorder="1" applyAlignment="1" applyProtection="1">
      <alignment horizontal="center"/>
    </xf>
    <xf numFmtId="0" fontId="34" fillId="0" borderId="0" xfId="36" applyFont="1"/>
    <xf numFmtId="0" fontId="39" fillId="0" borderId="0" xfId="36" applyFont="1"/>
    <xf numFmtId="3" fontId="35" fillId="6" borderId="7" xfId="36" applyNumberFormat="1" applyFont="1" applyFill="1" applyBorder="1" applyAlignment="1">
      <alignment horizontal="center"/>
    </xf>
    <xf numFmtId="0" fontId="35" fillId="0" borderId="0" xfId="36" applyFont="1" applyAlignment="1">
      <alignment horizontal="center"/>
    </xf>
    <xf numFmtId="0" fontId="30" fillId="0" borderId="0" xfId="36" applyFont="1" applyAlignment="1" applyProtection="1">
      <alignment horizontal="center"/>
      <protection locked="0"/>
    </xf>
    <xf numFmtId="1" fontId="34" fillId="0" borderId="0" xfId="36" applyNumberFormat="1" applyFont="1" applyAlignment="1">
      <alignment horizontal="center"/>
    </xf>
    <xf numFmtId="0" fontId="40" fillId="0" borderId="0" xfId="36" applyFont="1"/>
    <xf numFmtId="0" fontId="38" fillId="0" borderId="0" xfId="36" applyFont="1"/>
    <xf numFmtId="10" fontId="30" fillId="3" borderId="7" xfId="36" applyNumberFormat="1" applyFont="1" applyFill="1" applyBorder="1" applyAlignment="1" applyProtection="1">
      <alignment horizontal="center"/>
      <protection locked="0"/>
    </xf>
    <xf numFmtId="169" fontId="35" fillId="6" borderId="7" xfId="36" applyNumberFormat="1" applyFont="1" applyFill="1" applyBorder="1" applyAlignment="1">
      <alignment horizontal="center"/>
    </xf>
    <xf numFmtId="0" fontId="41" fillId="0" borderId="0" xfId="36" applyFont="1" applyAlignment="1">
      <alignment horizontal="center"/>
    </xf>
    <xf numFmtId="10" fontId="41" fillId="0" borderId="0" xfId="36" applyNumberFormat="1" applyFont="1" applyAlignment="1">
      <alignment horizontal="center"/>
    </xf>
    <xf numFmtId="0" fontId="39" fillId="0" borderId="0" xfId="3" applyFont="1"/>
    <xf numFmtId="0" fontId="30" fillId="0" borderId="0" xfId="1" applyFont="1"/>
    <xf numFmtId="10" fontId="34" fillId="0" borderId="0" xfId="36" applyNumberFormat="1" applyFont="1"/>
    <xf numFmtId="0" fontId="30" fillId="0" borderId="0" xfId="35" applyFont="1" applyAlignment="1">
      <alignment horizontal="left"/>
    </xf>
    <xf numFmtId="0" fontId="37" fillId="7" borderId="23" xfId="35" applyFont="1" applyFill="1" applyBorder="1" applyAlignment="1">
      <alignment horizontal="center"/>
    </xf>
    <xf numFmtId="10" fontId="30" fillId="0" borderId="0" xfId="36" applyNumberFormat="1" applyFont="1"/>
    <xf numFmtId="0" fontId="37" fillId="7" borderId="17" xfId="35" applyFont="1" applyFill="1" applyBorder="1" applyAlignment="1">
      <alignment horizontal="center"/>
    </xf>
    <xf numFmtId="0" fontId="30" fillId="0" borderId="17" xfId="35" applyFont="1" applyBorder="1" applyAlignment="1">
      <alignment horizontal="center"/>
    </xf>
    <xf numFmtId="0" fontId="30" fillId="0" borderId="7" xfId="35" applyFont="1" applyBorder="1" applyAlignment="1">
      <alignment horizontal="center"/>
    </xf>
    <xf numFmtId="0" fontId="38" fillId="0" borderId="0" xfId="36" applyFont="1" applyAlignment="1">
      <alignment horizontal="right"/>
    </xf>
    <xf numFmtId="171" fontId="35" fillId="8" borderId="7" xfId="36" applyNumberFormat="1" applyFont="1" applyFill="1" applyBorder="1" applyAlignment="1">
      <alignment horizontal="center"/>
    </xf>
    <xf numFmtId="3" fontId="35" fillId="8" borderId="7" xfId="36" applyNumberFormat="1" applyFont="1" applyFill="1" applyBorder="1" applyAlignment="1">
      <alignment horizontal="center"/>
    </xf>
    <xf numFmtId="0" fontId="35" fillId="0" borderId="0" xfId="36" applyFont="1"/>
    <xf numFmtId="1" fontId="35" fillId="8" borderId="7" xfId="36" applyNumberFormat="1" applyFont="1" applyFill="1" applyBorder="1" applyAlignment="1">
      <alignment horizontal="center"/>
    </xf>
    <xf numFmtId="171" fontId="30" fillId="3" borderId="7" xfId="36" applyNumberFormat="1" applyFont="1" applyFill="1" applyBorder="1" applyAlignment="1" applyProtection="1">
      <alignment horizontal="center"/>
      <protection locked="0"/>
    </xf>
    <xf numFmtId="3" fontId="35" fillId="6" borderId="12" xfId="36" applyNumberFormat="1" applyFont="1" applyFill="1" applyBorder="1" applyAlignment="1">
      <alignment horizontal="center"/>
    </xf>
    <xf numFmtId="171" fontId="35" fillId="6" borderId="15" xfId="36" applyNumberFormat="1" applyFont="1" applyFill="1" applyBorder="1" applyAlignment="1">
      <alignment horizontal="center"/>
    </xf>
    <xf numFmtId="0" fontId="38" fillId="0" borderId="7" xfId="36" applyFont="1" applyBorder="1" applyAlignment="1">
      <alignment horizontal="left"/>
    </xf>
    <xf numFmtId="0" fontId="40" fillId="0" borderId="0" xfId="36" applyFont="1" applyAlignment="1">
      <alignment horizontal="left"/>
    </xf>
    <xf numFmtId="0" fontId="38" fillId="0" borderId="0" xfId="36" applyFont="1" applyAlignment="1">
      <alignment horizontal="left"/>
    </xf>
    <xf numFmtId="0" fontId="30" fillId="3" borderId="7" xfId="36" applyFont="1" applyFill="1" applyBorder="1" applyAlignment="1">
      <alignment horizontal="center"/>
    </xf>
    <xf numFmtId="8" fontId="30" fillId="3" borderId="7" xfId="36" applyNumberFormat="1" applyFont="1" applyFill="1" applyBorder="1" applyAlignment="1">
      <alignment horizontal="center"/>
    </xf>
    <xf numFmtId="0" fontId="34" fillId="0" borderId="0" xfId="36" applyFont="1" applyAlignment="1">
      <alignment horizontal="center"/>
    </xf>
    <xf numFmtId="9" fontId="30" fillId="3" borderId="7" xfId="36" applyNumberFormat="1" applyFont="1" applyFill="1" applyBorder="1" applyAlignment="1">
      <alignment horizontal="center"/>
    </xf>
    <xf numFmtId="8" fontId="34" fillId="3" borderId="7" xfId="36" applyNumberFormat="1" applyFont="1" applyFill="1" applyBorder="1" applyAlignment="1">
      <alignment horizontal="center"/>
    </xf>
    <xf numFmtId="164" fontId="34" fillId="0" borderId="0" xfId="16" applyNumberFormat="1" applyFont="1" applyBorder="1" applyAlignment="1">
      <alignment horizontal="center"/>
    </xf>
    <xf numFmtId="166" fontId="30" fillId="3" borderId="7" xfId="16" applyNumberFormat="1" applyFont="1" applyFill="1" applyBorder="1" applyAlignment="1" applyProtection="1">
      <alignment horizontal="center"/>
      <protection locked="0"/>
    </xf>
    <xf numFmtId="171" fontId="38" fillId="0" borderId="7" xfId="36" applyNumberFormat="1" applyFont="1" applyBorder="1" applyAlignment="1">
      <alignment horizontal="left"/>
    </xf>
    <xf numFmtId="0" fontId="34" fillId="9" borderId="7" xfId="36" applyFont="1" applyFill="1" applyBorder="1"/>
    <xf numFmtId="3" fontId="34" fillId="9" borderId="7" xfId="36" applyNumberFormat="1" applyFont="1" applyFill="1" applyBorder="1" applyAlignment="1">
      <alignment horizontal="center"/>
    </xf>
    <xf numFmtId="182" fontId="34" fillId="9" borderId="7" xfId="36" applyNumberFormat="1" applyFont="1" applyFill="1" applyBorder="1" applyAlignment="1">
      <alignment horizontal="center"/>
    </xf>
    <xf numFmtId="2" fontId="34" fillId="9" borderId="7" xfId="36" applyNumberFormat="1" applyFont="1" applyFill="1" applyBorder="1" applyAlignment="1">
      <alignment horizontal="center"/>
    </xf>
    <xf numFmtId="4" fontId="34" fillId="9" borderId="7" xfId="36" applyNumberFormat="1" applyFont="1" applyFill="1" applyBorder="1" applyAlignment="1">
      <alignment horizontal="center"/>
    </xf>
    <xf numFmtId="0" fontId="34" fillId="7" borderId="7" xfId="36" applyFont="1" applyFill="1" applyBorder="1"/>
    <xf numFmtId="3" fontId="34" fillId="7" borderId="7" xfId="36" applyNumberFormat="1" applyFont="1" applyFill="1" applyBorder="1" applyAlignment="1">
      <alignment horizontal="center"/>
    </xf>
    <xf numFmtId="182" fontId="34" fillId="7" borderId="7" xfId="36" applyNumberFormat="1" applyFont="1" applyFill="1" applyBorder="1" applyAlignment="1">
      <alignment horizontal="center"/>
    </xf>
    <xf numFmtId="2" fontId="34" fillId="7" borderId="7" xfId="36" applyNumberFormat="1" applyFont="1" applyFill="1" applyBorder="1" applyAlignment="1">
      <alignment horizontal="center"/>
    </xf>
    <xf numFmtId="4" fontId="34" fillId="7" borderId="7" xfId="36" applyNumberFormat="1" applyFont="1" applyFill="1" applyBorder="1" applyAlignment="1">
      <alignment horizontal="center"/>
    </xf>
    <xf numFmtId="185" fontId="30" fillId="0" borderId="0" xfId="13" applyNumberFormat="1" applyFont="1" applyFill="1" applyBorder="1" applyAlignment="1" applyProtection="1">
      <alignment horizontal="center"/>
      <protection locked="0"/>
    </xf>
    <xf numFmtId="0" fontId="32" fillId="10" borderId="18" xfId="35" applyFont="1" applyFill="1" applyBorder="1" applyAlignment="1">
      <alignment horizontal="left"/>
    </xf>
    <xf numFmtId="171" fontId="43" fillId="10" borderId="19" xfId="35" applyNumberFormat="1" applyFont="1" applyFill="1" applyBorder="1" applyAlignment="1">
      <alignment horizontal="center"/>
    </xf>
    <xf numFmtId="169" fontId="30" fillId="0" borderId="0" xfId="36" applyNumberFormat="1" applyFont="1"/>
    <xf numFmtId="0" fontId="32" fillId="0" borderId="18" xfId="36" applyFont="1" applyBorder="1"/>
    <xf numFmtId="0" fontId="32" fillId="0" borderId="16" xfId="36" applyFont="1" applyBorder="1"/>
    <xf numFmtId="171" fontId="32" fillId="0" borderId="19" xfId="36" applyNumberFormat="1" applyFont="1" applyBorder="1" applyAlignment="1">
      <alignment horizontal="center"/>
    </xf>
    <xf numFmtId="0" fontId="32" fillId="0" borderId="8" xfId="35" applyFont="1" applyBorder="1"/>
    <xf numFmtId="0" fontId="43" fillId="0" borderId="0" xfId="35" applyFont="1"/>
    <xf numFmtId="171" fontId="43" fillId="0" borderId="9" xfId="35" applyNumberFormat="1" applyFont="1" applyBorder="1" applyAlignment="1">
      <alignment horizontal="center"/>
    </xf>
    <xf numFmtId="0" fontId="43" fillId="0" borderId="8" xfId="35" applyFont="1" applyBorder="1"/>
    <xf numFmtId="0" fontId="43" fillId="0" borderId="10" xfId="35" applyFont="1" applyBorder="1"/>
    <xf numFmtId="0" fontId="43" fillId="0" borderId="6" xfId="35" applyFont="1" applyBorder="1"/>
    <xf numFmtId="171" fontId="43" fillId="0" borderId="11" xfId="35" applyNumberFormat="1" applyFont="1" applyBorder="1" applyAlignment="1">
      <alignment horizontal="center"/>
    </xf>
    <xf numFmtId="0" fontId="43" fillId="5" borderId="10" xfId="35" applyFont="1" applyFill="1" applyBorder="1"/>
    <xf numFmtId="0" fontId="42" fillId="5" borderId="6" xfId="35" applyFont="1" applyFill="1" applyBorder="1"/>
    <xf numFmtId="171" fontId="43" fillId="5" borderId="11" xfId="35" applyNumberFormat="1" applyFont="1" applyFill="1" applyBorder="1" applyAlignment="1">
      <alignment horizontal="center"/>
    </xf>
    <xf numFmtId="0" fontId="43" fillId="11" borderId="12" xfId="35" applyFont="1" applyFill="1" applyBorder="1"/>
    <xf numFmtId="0" fontId="42" fillId="11" borderId="2" xfId="35" applyFont="1" applyFill="1" applyBorder="1"/>
    <xf numFmtId="171" fontId="43" fillId="11" borderId="15" xfId="35" applyNumberFormat="1" applyFont="1" applyFill="1" applyBorder="1" applyAlignment="1">
      <alignment horizontal="center"/>
    </xf>
    <xf numFmtId="2" fontId="34" fillId="0" borderId="0" xfId="36" applyNumberFormat="1" applyFont="1"/>
    <xf numFmtId="0" fontId="8" fillId="0" borderId="2" xfId="0" applyFont="1" applyBorder="1" applyAlignment="1">
      <alignment horizontal="right"/>
    </xf>
    <xf numFmtId="9" fontId="35" fillId="6" borderId="7" xfId="36" applyNumberFormat="1" applyFont="1" applyFill="1" applyBorder="1" applyAlignment="1">
      <alignment horizontal="center"/>
    </xf>
    <xf numFmtId="9" fontId="8" fillId="0" borderId="0" xfId="0" applyNumberFormat="1" applyFont="1" applyAlignment="1">
      <alignment horizontal="right"/>
    </xf>
    <xf numFmtId="171" fontId="36" fillId="6" borderId="7" xfId="36" applyNumberFormat="1" applyFont="1" applyFill="1" applyBorder="1" applyAlignment="1">
      <alignment horizontal="center"/>
    </xf>
    <xf numFmtId="0" fontId="30" fillId="0" borderId="7" xfId="0" applyFont="1" applyBorder="1" applyAlignment="1">
      <alignment horizontal="center"/>
    </xf>
    <xf numFmtId="0" fontId="37" fillId="0" borderId="7" xfId="0" applyFont="1" applyBorder="1"/>
    <xf numFmtId="0" fontId="30" fillId="0" borderId="7" xfId="0" applyFont="1" applyBorder="1" applyAlignment="1">
      <alignment horizontal="left"/>
    </xf>
    <xf numFmtId="0" fontId="30" fillId="0" borderId="7" xfId="0" applyFont="1" applyBorder="1"/>
    <xf numFmtId="0" fontId="37" fillId="0" borderId="7" xfId="0" applyFont="1" applyBorder="1" applyAlignment="1">
      <alignment horizontal="right"/>
    </xf>
    <xf numFmtId="0" fontId="30" fillId="0" borderId="0" xfId="0" applyFont="1"/>
    <xf numFmtId="0" fontId="30" fillId="3" borderId="7" xfId="0" applyFont="1" applyFill="1" applyBorder="1" applyAlignment="1">
      <alignment horizontal="center"/>
    </xf>
    <xf numFmtId="183" fontId="30" fillId="3" borderId="7" xfId="0" applyNumberFormat="1" applyFont="1" applyFill="1" applyBorder="1" applyAlignment="1">
      <alignment horizontal="center"/>
    </xf>
    <xf numFmtId="0" fontId="30" fillId="0" borderId="23" xfId="0" applyFont="1" applyBorder="1"/>
    <xf numFmtId="9" fontId="30" fillId="3" borderId="7" xfId="37" applyFont="1" applyFill="1" applyBorder="1" applyAlignment="1">
      <alignment horizontal="center"/>
    </xf>
    <xf numFmtId="0" fontId="30" fillId="0" borderId="14" xfId="0" applyFont="1" applyBorder="1" applyAlignment="1">
      <alignment horizontal="left"/>
    </xf>
    <xf numFmtId="0" fontId="30" fillId="0" borderId="14" xfId="0" applyFont="1" applyBorder="1"/>
    <xf numFmtId="0" fontId="30" fillId="0" borderId="17" xfId="0" applyFont="1" applyBorder="1"/>
    <xf numFmtId="0" fontId="30" fillId="0" borderId="0" xfId="0" applyFont="1" applyAlignment="1">
      <alignment horizontal="center"/>
    </xf>
    <xf numFmtId="0" fontId="37" fillId="0" borderId="0" xfId="0" applyFont="1"/>
    <xf numFmtId="0" fontId="30" fillId="0" borderId="0" xfId="0" applyFont="1" applyAlignment="1">
      <alignment horizontal="left"/>
    </xf>
    <xf numFmtId="8" fontId="30" fillId="0" borderId="6" xfId="0" applyNumberFormat="1" applyFont="1" applyBorder="1" applyAlignment="1">
      <alignment horizontal="right"/>
    </xf>
    <xf numFmtId="0" fontId="30" fillId="0" borderId="6" xfId="0" applyFont="1" applyBorder="1" applyAlignment="1">
      <alignment horizontal="right"/>
    </xf>
    <xf numFmtId="0" fontId="30" fillId="0" borderId="0" xfId="0" applyFont="1" applyAlignment="1">
      <alignment horizontal="right"/>
    </xf>
    <xf numFmtId="0" fontId="37" fillId="0" borderId="0" xfId="0" applyFont="1" applyAlignment="1">
      <alignment horizontal="left"/>
    </xf>
    <xf numFmtId="8" fontId="30" fillId="0" borderId="0" xfId="0" applyNumberFormat="1" applyFont="1"/>
    <xf numFmtId="6" fontId="30" fillId="0" borderId="0" xfId="0" applyNumberFormat="1" applyFont="1" applyAlignment="1">
      <alignment horizontal="right"/>
    </xf>
    <xf numFmtId="9" fontId="30" fillId="3" borderId="0" xfId="0" applyNumberFormat="1" applyFont="1" applyFill="1"/>
    <xf numFmtId="0" fontId="30" fillId="3" borderId="0" xfId="0" applyFont="1" applyFill="1"/>
    <xf numFmtId="0" fontId="37" fillId="0" borderId="0" xfId="0" applyFont="1" applyAlignment="1">
      <alignment horizontal="right"/>
    </xf>
    <xf numFmtId="0" fontId="30" fillId="0" borderId="12" xfId="0" applyFont="1" applyBorder="1" applyAlignment="1">
      <alignment horizontal="left"/>
    </xf>
    <xf numFmtId="0" fontId="30" fillId="0" borderId="15" xfId="0" applyFont="1" applyBorder="1" applyAlignment="1">
      <alignment horizontal="left"/>
    </xf>
    <xf numFmtId="0" fontId="37" fillId="0" borderId="7" xfId="0" applyFont="1" applyBorder="1" applyAlignment="1">
      <alignment horizontal="center"/>
    </xf>
    <xf numFmtId="1" fontId="35" fillId="6" borderId="7" xfId="36" applyNumberFormat="1" applyFont="1" applyFill="1" applyBorder="1" applyAlignment="1">
      <alignment horizontal="center"/>
    </xf>
    <xf numFmtId="1" fontId="30" fillId="0" borderId="0" xfId="0" applyNumberFormat="1" applyFont="1"/>
    <xf numFmtId="1" fontId="30" fillId="0" borderId="0" xfId="0" applyNumberFormat="1" applyFont="1" applyAlignment="1">
      <alignment horizontal="center"/>
    </xf>
    <xf numFmtId="9" fontId="8" fillId="0" borderId="0" xfId="0" applyNumberFormat="1" applyFont="1" applyAlignment="1">
      <alignment horizontal="left"/>
    </xf>
    <xf numFmtId="171" fontId="37" fillId="3" borderId="7" xfId="36" applyNumberFormat="1" applyFont="1" applyFill="1" applyBorder="1" applyAlignment="1">
      <alignment horizontal="center"/>
    </xf>
    <xf numFmtId="4" fontId="35" fillId="6" borderId="7" xfId="36" applyNumberFormat="1" applyFont="1" applyFill="1" applyBorder="1" applyAlignment="1">
      <alignment horizontal="center"/>
    </xf>
    <xf numFmtId="171" fontId="2" fillId="0" borderId="0" xfId="0" applyNumberFormat="1" applyFont="1" applyAlignment="1">
      <alignment horizontal="right"/>
    </xf>
    <xf numFmtId="0" fontId="30" fillId="0" borderId="7" xfId="36" applyFont="1" applyBorder="1"/>
    <xf numFmtId="3" fontId="43" fillId="11" borderId="15" xfId="35" applyNumberFormat="1" applyFont="1" applyFill="1" applyBorder="1" applyAlignment="1">
      <alignment horizontal="center"/>
    </xf>
    <xf numFmtId="188" fontId="30" fillId="0" borderId="0" xfId="36" applyNumberFormat="1" applyFont="1"/>
    <xf numFmtId="0" fontId="34" fillId="0" borderId="0" xfId="36" applyFont="1" applyAlignment="1">
      <alignment horizontal="left"/>
    </xf>
    <xf numFmtId="2" fontId="35" fillId="0" borderId="0" xfId="36" applyNumberFormat="1" applyFont="1" applyAlignment="1">
      <alignment horizontal="center"/>
    </xf>
    <xf numFmtId="3" fontId="0" fillId="0" borderId="0" xfId="0" applyNumberFormat="1" applyAlignment="1">
      <alignment horizontal="right"/>
    </xf>
    <xf numFmtId="1" fontId="30" fillId="0" borderId="0" xfId="36" applyNumberFormat="1" applyFont="1"/>
    <xf numFmtId="10" fontId="30" fillId="3" borderId="23" xfId="0" applyNumberFormat="1" applyFont="1" applyFill="1" applyBorder="1" applyAlignment="1" applyProtection="1">
      <alignment horizontal="center"/>
      <protection locked="0"/>
    </xf>
    <xf numFmtId="4" fontId="35" fillId="6" borderId="12" xfId="36" applyNumberFormat="1" applyFont="1" applyFill="1" applyBorder="1" applyAlignment="1">
      <alignment horizontal="center"/>
    </xf>
    <xf numFmtId="0" fontId="0" fillId="0" borderId="7" xfId="0" applyBorder="1"/>
    <xf numFmtId="0" fontId="42" fillId="0" borderId="24" xfId="0" applyFont="1" applyBorder="1" applyAlignment="1">
      <alignment vertical="top"/>
    </xf>
    <xf numFmtId="0" fontId="9" fillId="0" borderId="24" xfId="0" applyFont="1" applyBorder="1" applyAlignment="1">
      <alignment horizontal="center" vertical="top"/>
    </xf>
    <xf numFmtId="0" fontId="9" fillId="0" borderId="25" xfId="0" applyFont="1" applyBorder="1" applyAlignment="1">
      <alignment horizontal="center" vertical="top"/>
    </xf>
    <xf numFmtId="0" fontId="9" fillId="0" borderId="26" xfId="0" applyFont="1" applyBorder="1" applyAlignment="1">
      <alignment horizontal="center" vertical="top"/>
    </xf>
    <xf numFmtId="0" fontId="9" fillId="0" borderId="1" xfId="0" applyFont="1" applyBorder="1" applyAlignment="1">
      <alignment horizontal="center" vertical="top"/>
    </xf>
    <xf numFmtId="0" fontId="9" fillId="0" borderId="27" xfId="0" applyFont="1" applyBorder="1" applyAlignment="1">
      <alignment horizontal="center" vertical="top"/>
    </xf>
    <xf numFmtId="0" fontId="9" fillId="0" borderId="28" xfId="0" applyFont="1" applyBorder="1" applyAlignment="1">
      <alignment vertical="top"/>
    </xf>
    <xf numFmtId="0" fontId="42" fillId="0" borderId="25" xfId="0" applyFont="1" applyBorder="1" applyAlignment="1">
      <alignment horizontal="center" vertical="top"/>
    </xf>
    <xf numFmtId="0" fontId="42" fillId="0" borderId="1" xfId="0" applyFont="1" applyBorder="1" applyAlignment="1">
      <alignment horizontal="center" vertical="top"/>
    </xf>
    <xf numFmtId="0" fontId="42" fillId="0" borderId="27" xfId="0" applyFont="1" applyBorder="1" applyAlignment="1">
      <alignment horizontal="center" vertical="top"/>
    </xf>
    <xf numFmtId="0" fontId="9" fillId="0" borderId="29" xfId="0" applyFont="1" applyBorder="1" applyAlignment="1">
      <alignment vertical="top"/>
    </xf>
    <xf numFmtId="0" fontId="42" fillId="0" borderId="30" xfId="0" applyFont="1" applyBorder="1" applyAlignment="1">
      <alignment horizontal="center" vertical="top"/>
    </xf>
    <xf numFmtId="0" fontId="42" fillId="0" borderId="31" xfId="0" applyFont="1" applyBorder="1" applyAlignment="1">
      <alignment vertical="top"/>
    </xf>
    <xf numFmtId="0" fontId="9" fillId="0" borderId="32" xfId="0" applyFont="1" applyBorder="1" applyAlignment="1">
      <alignment horizontal="center" vertical="top"/>
    </xf>
    <xf numFmtId="180" fontId="35" fillId="6" borderId="7" xfId="36" applyNumberFormat="1" applyFont="1" applyFill="1" applyBorder="1" applyAlignment="1">
      <alignment horizontal="center"/>
    </xf>
    <xf numFmtId="187" fontId="35" fillId="6" borderId="7" xfId="36" applyNumberFormat="1" applyFont="1" applyFill="1" applyBorder="1" applyAlignment="1">
      <alignment horizontal="center"/>
    </xf>
    <xf numFmtId="0" fontId="37" fillId="12" borderId="12" xfId="36" applyFont="1" applyFill="1" applyBorder="1"/>
    <xf numFmtId="0" fontId="30" fillId="12" borderId="15" xfId="36" applyFont="1" applyFill="1" applyBorder="1"/>
    <xf numFmtId="0" fontId="38" fillId="12" borderId="7" xfId="36" applyFont="1" applyFill="1" applyBorder="1" applyAlignment="1">
      <alignment horizontal="center"/>
    </xf>
    <xf numFmtId="0" fontId="37" fillId="12" borderId="12" xfId="0" applyFont="1" applyFill="1" applyBorder="1" applyAlignment="1">
      <alignment horizontal="left" vertical="center"/>
    </xf>
    <xf numFmtId="0" fontId="37" fillId="12" borderId="2" xfId="0" applyFont="1" applyFill="1" applyBorder="1" applyAlignment="1">
      <alignment horizontal="left" vertical="center"/>
    </xf>
    <xf numFmtId="0" fontId="37" fillId="12" borderId="15" xfId="0" applyFont="1" applyFill="1" applyBorder="1" applyAlignment="1">
      <alignment horizontal="left" vertical="center"/>
    </xf>
    <xf numFmtId="0" fontId="34" fillId="12" borderId="10" xfId="36" applyFont="1" applyFill="1" applyBorder="1" applyAlignment="1">
      <alignment horizontal="center"/>
    </xf>
    <xf numFmtId="0" fontId="30" fillId="12" borderId="17" xfId="36" applyFont="1" applyFill="1" applyBorder="1" applyAlignment="1">
      <alignment horizontal="center"/>
    </xf>
    <xf numFmtId="0" fontId="34" fillId="12" borderId="7" xfId="36" applyFont="1" applyFill="1" applyBorder="1" applyAlignment="1">
      <alignment horizontal="center"/>
    </xf>
    <xf numFmtId="0" fontId="30" fillId="12" borderId="2" xfId="36" applyFont="1" applyFill="1" applyBorder="1"/>
    <xf numFmtId="0" fontId="34" fillId="12" borderId="17" xfId="36" applyFont="1" applyFill="1" applyBorder="1" applyAlignment="1">
      <alignment horizontal="center"/>
    </xf>
    <xf numFmtId="0" fontId="37" fillId="12" borderId="7" xfId="36" applyFont="1" applyFill="1" applyBorder="1" applyAlignment="1">
      <alignment horizontal="center"/>
    </xf>
    <xf numFmtId="0" fontId="37" fillId="12" borderId="12" xfId="36" applyFont="1" applyFill="1" applyBorder="1" applyAlignment="1">
      <alignment horizontal="left"/>
    </xf>
    <xf numFmtId="0" fontId="30" fillId="12" borderId="2" xfId="36" applyFont="1" applyFill="1" applyBorder="1" applyAlignment="1">
      <alignment horizontal="left"/>
    </xf>
    <xf numFmtId="0" fontId="37" fillId="12" borderId="2" xfId="36" applyFont="1" applyFill="1" applyBorder="1" applyAlignment="1">
      <alignment horizontal="left"/>
    </xf>
    <xf numFmtId="0" fontId="30" fillId="12" borderId="15" xfId="36" applyFont="1" applyFill="1" applyBorder="1" applyAlignment="1">
      <alignment horizontal="left"/>
    </xf>
    <xf numFmtId="0" fontId="38" fillId="12" borderId="23" xfId="36" applyFont="1" applyFill="1" applyBorder="1" applyAlignment="1">
      <alignment horizontal="left" vertical="center" wrapText="1"/>
    </xf>
    <xf numFmtId="0" fontId="38" fillId="12" borderId="23" xfId="36" applyFont="1" applyFill="1" applyBorder="1" applyAlignment="1">
      <alignment horizontal="center" vertical="center" wrapText="1"/>
    </xf>
    <xf numFmtId="185" fontId="37" fillId="12" borderId="23" xfId="13" applyNumberFormat="1" applyFont="1" applyFill="1" applyBorder="1" applyAlignment="1" applyProtection="1">
      <alignment horizontal="center" vertical="center" wrapText="1"/>
    </xf>
    <xf numFmtId="0" fontId="30" fillId="12" borderId="7" xfId="0" applyFont="1" applyFill="1" applyBorder="1" applyAlignment="1">
      <alignment horizontal="center"/>
    </xf>
    <xf numFmtId="0" fontId="37" fillId="12" borderId="7" xfId="0" applyFont="1" applyFill="1" applyBorder="1"/>
    <xf numFmtId="0" fontId="30" fillId="12" borderId="7" xfId="0" applyFont="1" applyFill="1" applyBorder="1" applyAlignment="1">
      <alignment horizontal="left"/>
    </xf>
    <xf numFmtId="0" fontId="30" fillId="12" borderId="7" xfId="0" applyFont="1" applyFill="1" applyBorder="1"/>
    <xf numFmtId="0" fontId="37" fillId="12" borderId="7" xfId="0" applyFont="1" applyFill="1" applyBorder="1" applyAlignment="1">
      <alignment horizontal="center"/>
    </xf>
    <xf numFmtId="0" fontId="37" fillId="12" borderId="7" xfId="0" applyFont="1" applyFill="1" applyBorder="1" applyAlignment="1">
      <alignment horizontal="right"/>
    </xf>
    <xf numFmtId="0" fontId="30" fillId="12" borderId="0" xfId="0" applyFont="1" applyFill="1" applyAlignment="1">
      <alignment horizontal="center"/>
    </xf>
    <xf numFmtId="0" fontId="37" fillId="12" borderId="0" xfId="0" applyFont="1" applyFill="1"/>
    <xf numFmtId="0" fontId="30" fillId="12" borderId="0" xfId="0" applyFont="1" applyFill="1" applyAlignment="1">
      <alignment horizontal="left"/>
    </xf>
    <xf numFmtId="0" fontId="30" fillId="12" borderId="0" xfId="0" applyFont="1" applyFill="1"/>
    <xf numFmtId="8" fontId="30" fillId="12" borderId="6" xfId="0" applyNumberFormat="1" applyFont="1" applyFill="1" applyBorder="1" applyAlignment="1">
      <alignment horizontal="right"/>
    </xf>
    <xf numFmtId="0" fontId="30" fillId="12" borderId="6" xfId="0" applyFont="1" applyFill="1" applyBorder="1" applyAlignment="1">
      <alignment horizontal="right"/>
    </xf>
    <xf numFmtId="0" fontId="34" fillId="12" borderId="0" xfId="36" applyFont="1" applyFill="1"/>
    <xf numFmtId="0" fontId="30" fillId="12" borderId="15" xfId="36" applyFont="1" applyFill="1" applyBorder="1" applyAlignment="1">
      <alignment horizontal="center"/>
    </xf>
    <xf numFmtId="0" fontId="32" fillId="10" borderId="8" xfId="35" applyFont="1" applyFill="1" applyBorder="1" applyAlignment="1">
      <alignment horizontal="left"/>
    </xf>
    <xf numFmtId="0" fontId="42" fillId="10" borderId="0" xfId="35" applyFont="1" applyFill="1"/>
    <xf numFmtId="171" fontId="43" fillId="10" borderId="9" xfId="35" applyNumberFormat="1" applyFont="1" applyFill="1" applyBorder="1" applyAlignment="1">
      <alignment horizontal="center"/>
    </xf>
    <xf numFmtId="0" fontId="31" fillId="12" borderId="12" xfId="36" applyFont="1" applyFill="1" applyBorder="1"/>
    <xf numFmtId="0" fontId="31" fillId="12" borderId="2" xfId="36" applyFont="1" applyFill="1" applyBorder="1" applyAlignment="1">
      <alignment horizontal="right"/>
    </xf>
    <xf numFmtId="0" fontId="37" fillId="12" borderId="2" xfId="36" applyFont="1" applyFill="1" applyBorder="1" applyAlignment="1">
      <alignment horizontal="center"/>
    </xf>
    <xf numFmtId="0" fontId="37" fillId="12" borderId="15" xfId="36" applyFont="1" applyFill="1" applyBorder="1" applyAlignment="1">
      <alignment horizontal="center"/>
    </xf>
    <xf numFmtId="0" fontId="34" fillId="12" borderId="7" xfId="36" applyFont="1" applyFill="1" applyBorder="1" applyAlignment="1">
      <alignment horizontal="right"/>
    </xf>
    <xf numFmtId="9" fontId="34" fillId="3" borderId="7" xfId="36" applyNumberFormat="1" applyFont="1" applyFill="1" applyBorder="1"/>
    <xf numFmtId="0" fontId="31" fillId="0" borderId="7" xfId="36" applyFont="1" applyBorder="1" applyAlignment="1">
      <alignment horizontal="right"/>
    </xf>
    <xf numFmtId="0" fontId="32" fillId="6" borderId="7" xfId="36" applyFont="1" applyFill="1" applyBorder="1" applyAlignment="1">
      <alignment horizontal="center"/>
    </xf>
    <xf numFmtId="9" fontId="2" fillId="0" borderId="0" xfId="0" applyNumberFormat="1" applyFont="1" applyAlignment="1">
      <alignment horizontal="right"/>
    </xf>
    <xf numFmtId="4" fontId="0" fillId="0" borderId="0" xfId="0" applyNumberFormat="1" applyAlignment="1">
      <alignment horizontal="right"/>
    </xf>
    <xf numFmtId="2" fontId="0" fillId="0" borderId="0" xfId="0" applyNumberFormat="1" applyAlignment="1">
      <alignment horizontal="right"/>
    </xf>
    <xf numFmtId="0" fontId="3" fillId="12" borderId="7" xfId="36" applyFont="1" applyFill="1" applyBorder="1" applyAlignment="1">
      <alignment wrapText="1"/>
    </xf>
    <xf numFmtId="0" fontId="3" fillId="12" borderId="7" xfId="36" applyFont="1" applyFill="1" applyBorder="1" applyAlignment="1">
      <alignment horizontal="center" wrapText="1"/>
    </xf>
    <xf numFmtId="3" fontId="47" fillId="6" borderId="7" xfId="36" applyNumberFormat="1" applyFont="1" applyFill="1" applyBorder="1" applyAlignment="1">
      <alignment horizontal="center"/>
    </xf>
    <xf numFmtId="166" fontId="2" fillId="3" borderId="7" xfId="16" applyNumberFormat="1" applyFont="1" applyFill="1" applyBorder="1" applyAlignment="1" applyProtection="1">
      <alignment horizontal="center"/>
      <protection locked="0"/>
    </xf>
    <xf numFmtId="171" fontId="47" fillId="6" borderId="7" xfId="36" applyNumberFormat="1" applyFont="1" applyFill="1" applyBorder="1" applyAlignment="1">
      <alignment horizontal="center"/>
    </xf>
    <xf numFmtId="171" fontId="47" fillId="8" borderId="7" xfId="36" applyNumberFormat="1" applyFont="1" applyFill="1" applyBorder="1" applyAlignment="1">
      <alignment horizontal="center"/>
    </xf>
    <xf numFmtId="4" fontId="47" fillId="6" borderId="7" xfId="36" applyNumberFormat="1" applyFont="1" applyFill="1" applyBorder="1" applyAlignment="1">
      <alignment horizontal="center"/>
    </xf>
    <xf numFmtId="2" fontId="30" fillId="3" borderId="12" xfId="36" applyNumberFormat="1" applyFont="1" applyFill="1" applyBorder="1" applyAlignment="1" applyProtection="1">
      <alignment horizontal="center"/>
      <protection locked="0"/>
    </xf>
    <xf numFmtId="10" fontId="2" fillId="3" borderId="7" xfId="36" applyNumberFormat="1" applyFill="1" applyBorder="1" applyAlignment="1" applyProtection="1">
      <alignment horizontal="center"/>
      <protection locked="0"/>
    </xf>
    <xf numFmtId="0" fontId="8" fillId="6" borderId="12" xfId="36" applyFont="1" applyFill="1" applyBorder="1" applyAlignment="1">
      <alignment horizontal="left"/>
    </xf>
    <xf numFmtId="0" fontId="8" fillId="6" borderId="15" xfId="36" applyFont="1" applyFill="1" applyBorder="1" applyAlignment="1">
      <alignment horizontal="left"/>
    </xf>
    <xf numFmtId="4" fontId="3" fillId="0" borderId="7" xfId="36" applyNumberFormat="1" applyFont="1" applyBorder="1" applyAlignment="1">
      <alignment horizontal="center"/>
    </xf>
    <xf numFmtId="0" fontId="2" fillId="0" borderId="0" xfId="36"/>
    <xf numFmtId="0" fontId="2" fillId="3" borderId="0" xfId="0" applyFont="1" applyFill="1"/>
    <xf numFmtId="9" fontId="2" fillId="6" borderId="7" xfId="37" applyFont="1" applyFill="1" applyBorder="1" applyAlignment="1">
      <alignment horizontal="center"/>
    </xf>
    <xf numFmtId="0" fontId="2" fillId="0" borderId="0" xfId="36" applyAlignment="1">
      <alignment horizontal="center"/>
    </xf>
    <xf numFmtId="9" fontId="2" fillId="0" borderId="0" xfId="37" applyFont="1"/>
    <xf numFmtId="0" fontId="48" fillId="0" borderId="0" xfId="3" applyFont="1"/>
    <xf numFmtId="0" fontId="2" fillId="0" borderId="0" xfId="1" applyFont="1"/>
    <xf numFmtId="0" fontId="2" fillId="11" borderId="0" xfId="0" applyFont="1" applyFill="1"/>
    <xf numFmtId="0" fontId="2" fillId="0" borderId="0" xfId="35" applyFont="1"/>
    <xf numFmtId="0" fontId="2" fillId="0" borderId="0" xfId="35" applyFont="1" applyAlignment="1">
      <alignment horizontal="left"/>
    </xf>
    <xf numFmtId="2" fontId="2" fillId="3" borderId="7" xfId="0" applyNumberFormat="1" applyFont="1" applyFill="1" applyBorder="1" applyAlignment="1">
      <alignment horizontal="center"/>
    </xf>
    <xf numFmtId="0" fontId="8" fillId="7" borderId="23" xfId="35" applyFont="1" applyFill="1" applyBorder="1" applyAlignment="1">
      <alignment horizontal="center"/>
    </xf>
    <xf numFmtId="14" fontId="2" fillId="3" borderId="7" xfId="0" applyNumberFormat="1" applyFont="1" applyFill="1" applyBorder="1" applyAlignment="1">
      <alignment horizontal="center"/>
    </xf>
    <xf numFmtId="1" fontId="2" fillId="3" borderId="7" xfId="0" applyNumberFormat="1" applyFont="1" applyFill="1" applyBorder="1" applyAlignment="1">
      <alignment horizontal="center"/>
    </xf>
    <xf numFmtId="169" fontId="47" fillId="6" borderId="7" xfId="36" applyNumberFormat="1" applyFont="1" applyFill="1" applyBorder="1" applyAlignment="1">
      <alignment horizontal="center"/>
    </xf>
    <xf numFmtId="0" fontId="8" fillId="7" borderId="17" xfId="35" applyFont="1" applyFill="1" applyBorder="1" applyAlignment="1">
      <alignment horizontal="center"/>
    </xf>
    <xf numFmtId="0" fontId="2" fillId="3" borderId="7" xfId="0" applyFont="1" applyFill="1" applyBorder="1" applyAlignment="1">
      <alignment horizontal="center"/>
    </xf>
    <xf numFmtId="8" fontId="2" fillId="3" borderId="7" xfId="0" applyNumberFormat="1" applyFont="1" applyFill="1" applyBorder="1" applyAlignment="1">
      <alignment horizontal="center"/>
    </xf>
    <xf numFmtId="0" fontId="2" fillId="0" borderId="17" xfId="35" applyFont="1" applyBorder="1" applyAlignment="1">
      <alignment horizontal="center"/>
    </xf>
    <xf numFmtId="0" fontId="2" fillId="0" borderId="7" xfId="35" applyFont="1" applyBorder="1" applyAlignment="1">
      <alignment horizontal="center"/>
    </xf>
    <xf numFmtId="3" fontId="2" fillId="0" borderId="5" xfId="0" applyNumberFormat="1" applyFont="1" applyBorder="1" applyAlignment="1">
      <alignment horizontal="center"/>
    </xf>
    <xf numFmtId="171" fontId="2" fillId="0" borderId="5" xfId="0" applyNumberFormat="1" applyFont="1" applyBorder="1" applyAlignment="1">
      <alignment horizontal="center"/>
    </xf>
    <xf numFmtId="4" fontId="2" fillId="3" borderId="7" xfId="0" applyNumberFormat="1" applyFont="1" applyFill="1" applyBorder="1" applyAlignment="1">
      <alignment horizontal="center"/>
    </xf>
    <xf numFmtId="189" fontId="2" fillId="3" borderId="7" xfId="0" applyNumberFormat="1" applyFont="1" applyFill="1" applyBorder="1" applyAlignment="1">
      <alignment horizontal="center"/>
    </xf>
    <xf numFmtId="0" fontId="8" fillId="12" borderId="12" xfId="0" applyFont="1" applyFill="1" applyBorder="1" applyAlignment="1">
      <alignment horizontal="left" vertical="center"/>
    </xf>
    <xf numFmtId="1" fontId="2" fillId="0" borderId="0" xfId="36" applyNumberFormat="1" applyAlignment="1">
      <alignment horizontal="center"/>
    </xf>
    <xf numFmtId="166" fontId="2" fillId="3" borderId="7" xfId="0" applyNumberFormat="1" applyFont="1" applyFill="1" applyBorder="1" applyAlignment="1" applyProtection="1">
      <alignment horizontal="center"/>
      <protection locked="0"/>
    </xf>
    <xf numFmtId="0" fontId="8" fillId="0" borderId="0" xfId="36" applyFont="1"/>
    <xf numFmtId="1" fontId="47" fillId="6" borderId="7" xfId="36" applyNumberFormat="1" applyFont="1" applyFill="1" applyBorder="1" applyAlignment="1">
      <alignment horizontal="center"/>
    </xf>
    <xf numFmtId="10" fontId="2" fillId="3" borderId="7" xfId="0" applyNumberFormat="1" applyFont="1" applyFill="1" applyBorder="1" applyAlignment="1">
      <alignment horizontal="center"/>
    </xf>
    <xf numFmtId="6" fontId="2" fillId="3" borderId="7" xfId="0" applyNumberFormat="1" applyFont="1" applyFill="1" applyBorder="1" applyAlignment="1">
      <alignment horizontal="center"/>
    </xf>
    <xf numFmtId="0" fontId="2" fillId="3" borderId="7" xfId="36" applyFill="1" applyBorder="1" applyAlignment="1">
      <alignment horizontal="center"/>
    </xf>
    <xf numFmtId="8" fontId="2" fillId="3" borderId="7" xfId="36" applyNumberFormat="1" applyFill="1" applyBorder="1" applyAlignment="1">
      <alignment horizontal="center"/>
    </xf>
    <xf numFmtId="9" fontId="2" fillId="3" borderId="7" xfId="0" applyNumberFormat="1" applyFont="1" applyFill="1" applyBorder="1" applyAlignment="1">
      <alignment horizontal="center"/>
    </xf>
    <xf numFmtId="4" fontId="2" fillId="0" borderId="0" xfId="0" applyNumberFormat="1" applyFont="1" applyAlignment="1">
      <alignment horizontal="center"/>
    </xf>
    <xf numFmtId="0" fontId="8" fillId="10" borderId="8" xfId="35" applyFont="1" applyFill="1" applyBorder="1" applyAlignment="1">
      <alignment horizontal="left"/>
    </xf>
    <xf numFmtId="171" fontId="7" fillId="10" borderId="9" xfId="35" applyNumberFormat="1" applyFont="1" applyFill="1" applyBorder="1" applyAlignment="1">
      <alignment horizontal="center"/>
    </xf>
    <xf numFmtId="0" fontId="8" fillId="10" borderId="18" xfId="35" applyFont="1" applyFill="1" applyBorder="1" applyAlignment="1">
      <alignment horizontal="left"/>
    </xf>
    <xf numFmtId="171" fontId="7" fillId="10" borderId="19" xfId="35" applyNumberFormat="1" applyFont="1" applyFill="1" applyBorder="1" applyAlignment="1">
      <alignment horizontal="center"/>
    </xf>
    <xf numFmtId="0" fontId="8" fillId="0" borderId="18" xfId="36" applyFont="1" applyBorder="1"/>
    <xf numFmtId="0" fontId="8" fillId="0" borderId="16" xfId="36" applyFont="1" applyBorder="1"/>
    <xf numFmtId="171" fontId="8" fillId="0" borderId="19" xfId="36" applyNumberFormat="1" applyFont="1" applyBorder="1" applyAlignment="1">
      <alignment horizontal="center"/>
    </xf>
    <xf numFmtId="171" fontId="8" fillId="0" borderId="23" xfId="36" applyNumberFormat="1" applyFont="1" applyBorder="1" applyAlignment="1">
      <alignment horizontal="center"/>
    </xf>
    <xf numFmtId="0" fontId="8" fillId="0" borderId="8" xfId="35" applyFont="1" applyBorder="1"/>
    <xf numFmtId="0" fontId="7" fillId="0" borderId="0" xfId="35" applyFont="1"/>
    <xf numFmtId="171" fontId="7" fillId="0" borderId="9" xfId="35" applyNumberFormat="1" applyFont="1" applyBorder="1" applyAlignment="1">
      <alignment horizontal="center"/>
    </xf>
    <xf numFmtId="171" fontId="8" fillId="0" borderId="9" xfId="36" applyNumberFormat="1" applyFont="1" applyBorder="1" applyAlignment="1">
      <alignment horizontal="center"/>
    </xf>
    <xf numFmtId="171" fontId="8" fillId="0" borderId="14" xfId="36" applyNumberFormat="1" applyFont="1" applyBorder="1" applyAlignment="1">
      <alignment horizontal="center"/>
    </xf>
    <xf numFmtId="0" fontId="7" fillId="0" borderId="8" xfId="35" applyFont="1" applyBorder="1"/>
    <xf numFmtId="0" fontId="7" fillId="0" borderId="10" xfId="35" applyFont="1" applyBorder="1"/>
    <xf numFmtId="0" fontId="7" fillId="0" borderId="6" xfId="35" applyFont="1" applyBorder="1"/>
    <xf numFmtId="171" fontId="7" fillId="0" borderId="11" xfId="35" applyNumberFormat="1" applyFont="1" applyBorder="1" applyAlignment="1">
      <alignment horizontal="center"/>
    </xf>
    <xf numFmtId="0" fontId="7" fillId="5" borderId="10" xfId="35" applyFont="1" applyFill="1" applyBorder="1"/>
    <xf numFmtId="171" fontId="7" fillId="5" borderId="11" xfId="35" applyNumberFormat="1" applyFont="1" applyFill="1" applyBorder="1" applyAlignment="1">
      <alignment horizontal="center"/>
    </xf>
    <xf numFmtId="0" fontId="7" fillId="11" borderId="12" xfId="35" applyFont="1" applyFill="1" applyBorder="1"/>
    <xf numFmtId="171" fontId="7" fillId="11" borderId="15" xfId="35" applyNumberFormat="1" applyFont="1" applyFill="1" applyBorder="1" applyAlignment="1">
      <alignment horizontal="center"/>
    </xf>
    <xf numFmtId="0" fontId="7" fillId="11" borderId="2" xfId="35" applyFont="1" applyFill="1" applyBorder="1"/>
    <xf numFmtId="3" fontId="7" fillId="11" borderId="15" xfId="35" applyNumberFormat="1" applyFont="1" applyFill="1" applyBorder="1" applyAlignment="1">
      <alignment horizontal="center"/>
    </xf>
    <xf numFmtId="0" fontId="8" fillId="12" borderId="15" xfId="0" applyFont="1" applyFill="1" applyBorder="1" applyAlignment="1">
      <alignment horizontal="center" vertical="center"/>
    </xf>
    <xf numFmtId="10" fontId="2" fillId="3" borderId="23" xfId="0" applyNumberFormat="1" applyFont="1" applyFill="1" applyBorder="1" applyAlignment="1" applyProtection="1">
      <alignment horizontal="center"/>
      <protection locked="0"/>
    </xf>
    <xf numFmtId="4" fontId="2" fillId="3" borderId="7" xfId="36" applyNumberFormat="1" applyFill="1" applyBorder="1" applyAlignment="1" applyProtection="1">
      <alignment horizontal="center"/>
      <protection locked="0"/>
    </xf>
    <xf numFmtId="169" fontId="2" fillId="3" borderId="7" xfId="36" applyNumberFormat="1" applyFill="1" applyBorder="1" applyAlignment="1" applyProtection="1">
      <alignment horizontal="center"/>
      <protection locked="0"/>
    </xf>
    <xf numFmtId="3" fontId="47" fillId="6" borderId="0" xfId="36" applyNumberFormat="1" applyFont="1" applyFill="1" applyAlignment="1">
      <alignment horizontal="center"/>
    </xf>
    <xf numFmtId="0" fontId="2" fillId="12" borderId="7" xfId="0" applyFont="1" applyFill="1" applyBorder="1" applyAlignment="1">
      <alignment horizontal="center"/>
    </xf>
    <xf numFmtId="0" fontId="8" fillId="12" borderId="7" xfId="0" applyFont="1" applyFill="1" applyBorder="1"/>
    <xf numFmtId="0" fontId="2" fillId="12" borderId="7" xfId="0" applyFont="1" applyFill="1" applyBorder="1" applyAlignment="1">
      <alignment horizontal="left"/>
    </xf>
    <xf numFmtId="0" fontId="2" fillId="12" borderId="7" xfId="0" applyFont="1" applyFill="1" applyBorder="1"/>
    <xf numFmtId="0" fontId="8" fillId="12" borderId="7" xfId="0" applyFont="1" applyFill="1" applyBorder="1" applyAlignment="1">
      <alignment horizontal="center"/>
    </xf>
    <xf numFmtId="0" fontId="8" fillId="12" borderId="7" xfId="0" applyFont="1" applyFill="1" applyBorder="1" applyAlignment="1">
      <alignment horizontal="right"/>
    </xf>
    <xf numFmtId="0" fontId="2" fillId="0" borderId="7" xfId="0" applyFont="1" applyBorder="1" applyAlignment="1">
      <alignment horizontal="center"/>
    </xf>
    <xf numFmtId="0" fontId="8" fillId="0" borderId="7" xfId="0" applyFont="1" applyBorder="1" applyAlignment="1">
      <alignment horizontal="center"/>
    </xf>
    <xf numFmtId="0" fontId="2" fillId="0" borderId="7" xfId="0" applyFont="1" applyBorder="1" applyAlignment="1">
      <alignment horizontal="left"/>
    </xf>
    <xf numFmtId="0" fontId="3" fillId="9" borderId="7" xfId="36" applyFont="1" applyFill="1" applyBorder="1"/>
    <xf numFmtId="183" fontId="2" fillId="3" borderId="7" xfId="0" applyNumberFormat="1" applyFont="1" applyFill="1" applyBorder="1" applyAlignment="1">
      <alignment horizontal="center"/>
    </xf>
    <xf numFmtId="9" fontId="2" fillId="3" borderId="7" xfId="37" applyFont="1" applyFill="1" applyBorder="1" applyAlignment="1">
      <alignment horizontal="center"/>
    </xf>
    <xf numFmtId="0" fontId="2" fillId="0" borderId="23" xfId="0" applyFont="1" applyBorder="1"/>
    <xf numFmtId="2" fontId="47" fillId="6" borderId="7" xfId="36" applyNumberFormat="1" applyFont="1" applyFill="1" applyBorder="1" applyAlignment="1">
      <alignment horizontal="center"/>
    </xf>
    <xf numFmtId="9" fontId="47" fillId="6" borderId="7" xfId="36" applyNumberFormat="1" applyFont="1" applyFill="1" applyBorder="1" applyAlignment="1">
      <alignment horizontal="center"/>
    </xf>
    <xf numFmtId="0" fontId="2" fillId="0" borderId="14" xfId="0" applyFont="1" applyBorder="1" applyAlignment="1">
      <alignment horizontal="left"/>
    </xf>
    <xf numFmtId="0" fontId="2" fillId="0" borderId="17" xfId="0" applyFont="1" applyBorder="1"/>
    <xf numFmtId="1" fontId="2" fillId="0" borderId="0" xfId="0" applyNumberFormat="1" applyFont="1" applyAlignment="1">
      <alignment horizontal="center"/>
    </xf>
    <xf numFmtId="8" fontId="2" fillId="0" borderId="6" xfId="0" applyNumberFormat="1" applyFont="1" applyBorder="1" applyAlignment="1">
      <alignment horizontal="right"/>
    </xf>
    <xf numFmtId="0" fontId="2" fillId="12" borderId="0" xfId="0" applyFont="1" applyFill="1" applyAlignment="1">
      <alignment horizontal="center"/>
    </xf>
    <xf numFmtId="0" fontId="8" fillId="12" borderId="0" xfId="0" applyFont="1" applyFill="1"/>
    <xf numFmtId="0" fontId="2" fillId="12" borderId="0" xfId="0" applyFont="1" applyFill="1" applyAlignment="1">
      <alignment horizontal="left"/>
    </xf>
    <xf numFmtId="0" fontId="2" fillId="12" borderId="0" xfId="0" applyFont="1" applyFill="1"/>
    <xf numFmtId="8" fontId="2" fillId="12" borderId="6" xfId="0" applyNumberFormat="1" applyFont="1" applyFill="1" applyBorder="1" applyAlignment="1">
      <alignment horizontal="right"/>
    </xf>
    <xf numFmtId="0" fontId="2" fillId="12" borderId="6" xfId="0" applyFont="1" applyFill="1" applyBorder="1" applyAlignment="1">
      <alignment horizontal="right"/>
    </xf>
    <xf numFmtId="8" fontId="2" fillId="0" borderId="6" xfId="0" applyNumberFormat="1" applyFont="1" applyBorder="1" applyAlignment="1">
      <alignment horizontal="center"/>
    </xf>
    <xf numFmtId="0" fontId="2" fillId="0" borderId="6" xfId="0" applyFont="1" applyBorder="1" applyAlignment="1">
      <alignment horizontal="center"/>
    </xf>
    <xf numFmtId="1" fontId="2" fillId="0" borderId="0" xfId="0" applyNumberFormat="1" applyFont="1"/>
    <xf numFmtId="171" fontId="49" fillId="6" borderId="7" xfId="36" applyNumberFormat="1" applyFont="1" applyFill="1" applyBorder="1" applyAlignment="1">
      <alignment horizontal="center"/>
    </xf>
    <xf numFmtId="8" fontId="2" fillId="0" borderId="0" xfId="0" applyNumberFormat="1" applyFont="1"/>
    <xf numFmtId="6" fontId="2" fillId="0" borderId="0" xfId="0" applyNumberFormat="1" applyFont="1" applyAlignment="1">
      <alignment horizontal="right"/>
    </xf>
    <xf numFmtId="171" fontId="8" fillId="3" borderId="7" xfId="36" applyNumberFormat="1" applyFont="1" applyFill="1" applyBorder="1" applyAlignment="1">
      <alignment horizontal="center"/>
    </xf>
    <xf numFmtId="9" fontId="2" fillId="3" borderId="0" xfId="0" applyNumberFormat="1" applyFont="1" applyFill="1"/>
    <xf numFmtId="0" fontId="3" fillId="0" borderId="0" xfId="36" applyFont="1"/>
    <xf numFmtId="185" fontId="2" fillId="0" borderId="0" xfId="13" applyNumberFormat="1" applyFont="1" applyFill="1" applyBorder="1" applyAlignment="1" applyProtection="1">
      <alignment horizontal="center"/>
      <protection locked="0"/>
    </xf>
    <xf numFmtId="0" fontId="3" fillId="12" borderId="0" xfId="36" applyFont="1" applyFill="1"/>
    <xf numFmtId="0" fontId="3" fillId="0" borderId="0" xfId="36" applyFont="1" applyAlignment="1">
      <alignment horizontal="center"/>
    </xf>
    <xf numFmtId="0" fontId="8" fillId="10" borderId="0" xfId="35" applyFont="1" applyFill="1"/>
    <xf numFmtId="2" fontId="3" fillId="0" borderId="0" xfId="36" applyNumberFormat="1" applyFont="1"/>
    <xf numFmtId="0" fontId="8" fillId="5" borderId="6" xfId="35" applyFont="1" applyFill="1" applyBorder="1"/>
    <xf numFmtId="0" fontId="8" fillId="11" borderId="2" xfId="35" applyFont="1" applyFill="1" applyBorder="1"/>
    <xf numFmtId="171" fontId="2" fillId="0" borderId="0" xfId="36" applyNumberFormat="1"/>
    <xf numFmtId="169" fontId="2" fillId="0" borderId="0" xfId="36" applyNumberFormat="1"/>
    <xf numFmtId="0" fontId="8" fillId="12" borderId="12" xfId="36" applyFont="1" applyFill="1" applyBorder="1"/>
    <xf numFmtId="0" fontId="2" fillId="12" borderId="15" xfId="36" applyFill="1" applyBorder="1" applyAlignment="1">
      <alignment horizontal="center"/>
    </xf>
    <xf numFmtId="0" fontId="2" fillId="0" borderId="28" xfId="0" applyFont="1" applyBorder="1" applyAlignment="1">
      <alignment vertical="top"/>
    </xf>
    <xf numFmtId="0" fontId="8" fillId="0" borderId="25" xfId="0" applyFont="1" applyBorder="1" applyAlignment="1">
      <alignment horizontal="center" vertical="top"/>
    </xf>
    <xf numFmtId="0" fontId="8" fillId="0" borderId="1" xfId="0" applyFont="1" applyBorder="1" applyAlignment="1">
      <alignment horizontal="center" vertical="top"/>
    </xf>
    <xf numFmtId="0" fontId="8" fillId="0" borderId="27" xfId="0" applyFont="1" applyBorder="1" applyAlignment="1">
      <alignment horizontal="center" vertical="top"/>
    </xf>
    <xf numFmtId="0" fontId="2" fillId="0" borderId="29" xfId="0" applyFont="1" applyBorder="1" applyAlignment="1">
      <alignment vertical="top"/>
    </xf>
    <xf numFmtId="0" fontId="8" fillId="0" borderId="30" xfId="0" applyFont="1" applyBorder="1" applyAlignment="1">
      <alignment horizontal="center" vertical="top"/>
    </xf>
    <xf numFmtId="0" fontId="8" fillId="0" borderId="31" xfId="0" applyFont="1" applyBorder="1" applyAlignment="1">
      <alignment vertical="top"/>
    </xf>
    <xf numFmtId="0" fontId="2" fillId="0" borderId="32" xfId="0" applyFont="1" applyBorder="1" applyAlignment="1">
      <alignment horizontal="center" vertical="top"/>
    </xf>
    <xf numFmtId="0" fontId="8" fillId="0" borderId="24" xfId="0" applyFont="1" applyBorder="1" applyAlignment="1">
      <alignment vertical="top"/>
    </xf>
    <xf numFmtId="0" fontId="2" fillId="0" borderId="24" xfId="0" applyFont="1" applyBorder="1" applyAlignment="1">
      <alignment horizontal="center" vertical="top"/>
    </xf>
    <xf numFmtId="0" fontId="2" fillId="0" borderId="25" xfId="0" applyFont="1" applyBorder="1" applyAlignment="1">
      <alignment horizontal="center" vertical="top"/>
    </xf>
    <xf numFmtId="0" fontId="2" fillId="0" borderId="26" xfId="0" applyFont="1" applyBorder="1" applyAlignment="1">
      <alignment horizontal="center" vertical="top"/>
    </xf>
    <xf numFmtId="0" fontId="2" fillId="0" borderId="1" xfId="0" applyFont="1" applyBorder="1" applyAlignment="1">
      <alignment horizontal="center" vertical="top"/>
    </xf>
    <xf numFmtId="0" fontId="2" fillId="0" borderId="27" xfId="0" applyFont="1" applyBorder="1" applyAlignment="1">
      <alignment horizontal="center" vertical="top"/>
    </xf>
    <xf numFmtId="0" fontId="2" fillId="0" borderId="7" xfId="36" applyBorder="1"/>
    <xf numFmtId="0" fontId="3" fillId="0" borderId="0" xfId="36" applyFont="1" applyAlignment="1">
      <alignment horizontal="left"/>
    </xf>
    <xf numFmtId="2" fontId="47" fillId="0" borderId="0" xfId="36" applyNumberFormat="1" applyFont="1" applyAlignment="1">
      <alignment horizontal="center"/>
    </xf>
    <xf numFmtId="0" fontId="8" fillId="0" borderId="6" xfId="0" applyFont="1" applyBorder="1" applyAlignment="1">
      <alignment horizontal="left" vertical="center"/>
    </xf>
    <xf numFmtId="0" fontId="50" fillId="0" borderId="0" xfId="36" applyFont="1"/>
    <xf numFmtId="0" fontId="2" fillId="3" borderId="0" xfId="0" applyFont="1" applyFill="1" applyAlignment="1">
      <alignment horizontal="center"/>
    </xf>
    <xf numFmtId="0" fontId="34" fillId="0" borderId="0" xfId="36" applyFont="1" applyAlignment="1">
      <alignment horizontal="right"/>
    </xf>
    <xf numFmtId="4" fontId="30" fillId="3" borderId="7" xfId="36" applyNumberFormat="1" applyFont="1" applyFill="1" applyBorder="1" applyAlignment="1">
      <alignment horizontal="center"/>
    </xf>
    <xf numFmtId="6" fontId="0" fillId="3" borderId="7" xfId="0" applyNumberFormat="1" applyFill="1" applyBorder="1" applyAlignment="1">
      <alignment horizontal="center"/>
    </xf>
    <xf numFmtId="184" fontId="47" fillId="6" borderId="7" xfId="36" applyNumberFormat="1" applyFont="1" applyFill="1" applyBorder="1" applyAlignment="1">
      <alignment horizontal="center"/>
    </xf>
    <xf numFmtId="0" fontId="8" fillId="12" borderId="0" xfId="36" applyFont="1" applyFill="1"/>
    <xf numFmtId="0" fontId="8" fillId="12" borderId="0" xfId="36" applyFont="1" applyFill="1" applyAlignment="1">
      <alignment horizontal="left"/>
    </xf>
    <xf numFmtId="0" fontId="8" fillId="12" borderId="6" xfId="36" applyFont="1" applyFill="1" applyBorder="1" applyAlignment="1">
      <alignment horizontal="left"/>
    </xf>
    <xf numFmtId="0" fontId="8" fillId="12" borderId="6" xfId="36" applyFont="1" applyFill="1" applyBorder="1" applyAlignment="1">
      <alignment horizontal="center"/>
    </xf>
    <xf numFmtId="0" fontId="2" fillId="0" borderId="6" xfId="36" applyBorder="1"/>
    <xf numFmtId="3" fontId="47" fillId="8" borderId="7" xfId="36" applyNumberFormat="1" applyFont="1" applyFill="1" applyBorder="1" applyAlignment="1">
      <alignment horizontal="center"/>
    </xf>
    <xf numFmtId="187" fontId="2" fillId="3" borderId="7" xfId="36" applyNumberFormat="1" applyFill="1" applyBorder="1" applyAlignment="1" applyProtection="1">
      <alignment horizontal="center"/>
      <protection locked="0"/>
    </xf>
    <xf numFmtId="3" fontId="2" fillId="3" borderId="7" xfId="36" applyNumberFormat="1" applyFill="1" applyBorder="1" applyAlignment="1" applyProtection="1">
      <alignment horizontal="center"/>
      <protection locked="0"/>
    </xf>
    <xf numFmtId="186" fontId="30" fillId="3" borderId="7" xfId="36" applyNumberFormat="1" applyFont="1" applyFill="1" applyBorder="1" applyAlignment="1" applyProtection="1">
      <alignment horizontal="center"/>
      <protection locked="0"/>
    </xf>
    <xf numFmtId="0" fontId="1" fillId="13" borderId="33" xfId="36" applyFont="1" applyFill="1" applyBorder="1"/>
    <xf numFmtId="0" fontId="1" fillId="13" borderId="34" xfId="36" applyFont="1" applyFill="1" applyBorder="1"/>
    <xf numFmtId="0" fontId="1" fillId="13" borderId="35" xfId="36" applyFont="1" applyFill="1" applyBorder="1"/>
    <xf numFmtId="0" fontId="1" fillId="13" borderId="30" xfId="36" applyFont="1" applyFill="1" applyBorder="1"/>
    <xf numFmtId="0" fontId="1" fillId="13" borderId="36" xfId="36" applyFont="1" applyFill="1" applyBorder="1"/>
    <xf numFmtId="0" fontId="1" fillId="13" borderId="32" xfId="36" applyFont="1" applyFill="1" applyBorder="1"/>
    <xf numFmtId="4" fontId="1" fillId="14" borderId="7" xfId="36" applyNumberFormat="1" applyFont="1" applyFill="1" applyBorder="1" applyAlignment="1" applyProtection="1">
      <alignment horizontal="center"/>
      <protection locked="0"/>
    </xf>
    <xf numFmtId="2" fontId="1" fillId="14" borderId="7" xfId="0" applyNumberFormat="1" applyFont="1" applyFill="1" applyBorder="1" applyAlignment="1">
      <alignment horizontal="center"/>
    </xf>
    <xf numFmtId="182" fontId="1" fillId="14" borderId="7" xfId="0" applyNumberFormat="1" applyFont="1" applyFill="1" applyBorder="1" applyAlignment="1">
      <alignment horizontal="center"/>
    </xf>
    <xf numFmtId="0" fontId="21" fillId="0" borderId="12" xfId="0" applyFont="1" applyBorder="1" applyAlignment="1">
      <alignment horizontal="center" vertical="top" wrapText="1"/>
    </xf>
    <xf numFmtId="0" fontId="0" fillId="0" borderId="2" xfId="0" applyBorder="1" applyAlignment="1">
      <alignment horizontal="center" vertical="top" wrapText="1"/>
    </xf>
    <xf numFmtId="0" fontId="0" fillId="0" borderId="15" xfId="0" applyBorder="1" applyAlignment="1">
      <alignment horizontal="center" vertical="top" wrapText="1"/>
    </xf>
    <xf numFmtId="0" fontId="2" fillId="0" borderId="23" xfId="0" applyFont="1" applyBorder="1" applyAlignment="1">
      <alignment horizontal="left" vertical="center"/>
    </xf>
    <xf numFmtId="0" fontId="2" fillId="0" borderId="14" xfId="0" applyFont="1" applyBorder="1" applyAlignment="1">
      <alignment horizontal="left" vertical="center"/>
    </xf>
    <xf numFmtId="0" fontId="2" fillId="0" borderId="17" xfId="0" applyFont="1" applyBorder="1" applyAlignment="1">
      <alignment horizontal="left" vertical="center"/>
    </xf>
    <xf numFmtId="0" fontId="2" fillId="0" borderId="7" xfId="0" applyFont="1" applyBorder="1" applyAlignment="1">
      <alignment horizontal="left" vertical="center"/>
    </xf>
    <xf numFmtId="0" fontId="30" fillId="0" borderId="12" xfId="0" applyFont="1" applyBorder="1" applyAlignment="1">
      <alignment horizontal="left"/>
    </xf>
    <xf numFmtId="0" fontId="30" fillId="0" borderId="15" xfId="0" applyFont="1" applyBorder="1" applyAlignment="1">
      <alignment horizontal="left"/>
    </xf>
    <xf numFmtId="0" fontId="37" fillId="12" borderId="12" xfId="36" applyFont="1" applyFill="1" applyBorder="1" applyAlignment="1">
      <alignment horizontal="center"/>
    </xf>
    <xf numFmtId="0" fontId="37" fillId="12" borderId="15" xfId="36" applyFont="1" applyFill="1" applyBorder="1" applyAlignment="1">
      <alignment horizontal="center"/>
    </xf>
    <xf numFmtId="0" fontId="37" fillId="12" borderId="12" xfId="0" applyFont="1" applyFill="1" applyBorder="1" applyAlignment="1">
      <alignment horizontal="left" vertical="center"/>
    </xf>
    <xf numFmtId="0" fontId="37" fillId="12" borderId="2" xfId="0" applyFont="1" applyFill="1" applyBorder="1" applyAlignment="1">
      <alignment horizontal="left" vertical="center"/>
    </xf>
    <xf numFmtId="0" fontId="37" fillId="12" borderId="15" xfId="0" applyFont="1" applyFill="1" applyBorder="1" applyAlignment="1">
      <alignment horizontal="left" vertical="center"/>
    </xf>
    <xf numFmtId="0" fontId="2" fillId="0" borderId="12" xfId="0" applyFont="1" applyBorder="1" applyAlignment="1">
      <alignment horizontal="left"/>
    </xf>
    <xf numFmtId="0" fontId="2" fillId="0" borderId="15" xfId="0" applyFont="1" applyBorder="1" applyAlignment="1">
      <alignment horizontal="left"/>
    </xf>
  </cellXfs>
  <cellStyles count="50">
    <cellStyle name="Arial  - Style1" xfId="1" xr:uid="{00000000-0005-0000-0000-000000000000}"/>
    <cellStyle name="Arial  - Style2" xfId="2" xr:uid="{00000000-0005-0000-0000-000001000000}"/>
    <cellStyle name="Bold A - Style3" xfId="3" xr:uid="{00000000-0005-0000-0000-000002000000}"/>
    <cellStyle name="Calc Currency (0)" xfId="4" xr:uid="{00000000-0005-0000-0000-000003000000}"/>
    <cellStyle name="Calc Currency (2)" xfId="5" xr:uid="{00000000-0005-0000-0000-000004000000}"/>
    <cellStyle name="Calc Percent (0)" xfId="6" xr:uid="{00000000-0005-0000-0000-000005000000}"/>
    <cellStyle name="Calc Percent (1)" xfId="7" xr:uid="{00000000-0005-0000-0000-000006000000}"/>
    <cellStyle name="Calc Percent (2)" xfId="8" xr:uid="{00000000-0005-0000-0000-000007000000}"/>
    <cellStyle name="Calc Units (0)" xfId="9" xr:uid="{00000000-0005-0000-0000-000008000000}"/>
    <cellStyle name="Calc Units (1)" xfId="10" xr:uid="{00000000-0005-0000-0000-000009000000}"/>
    <cellStyle name="Calc Units (2)" xfId="11" xr:uid="{00000000-0005-0000-0000-00000A000000}"/>
    <cellStyle name="Comma [00]" xfId="12" xr:uid="{00000000-0005-0000-0000-00000B000000}"/>
    <cellStyle name="Comma 2" xfId="13" xr:uid="{00000000-0005-0000-0000-00000C000000}"/>
    <cellStyle name="Currency" xfId="14" builtinId="4"/>
    <cellStyle name="Currency [00]" xfId="15" xr:uid="{00000000-0005-0000-0000-00000E000000}"/>
    <cellStyle name="Currency 2" xfId="16" xr:uid="{00000000-0005-0000-0000-00000F000000}"/>
    <cellStyle name="Currency0" xfId="17" xr:uid="{00000000-0005-0000-0000-000010000000}"/>
    <cellStyle name="Date Short" xfId="18" xr:uid="{00000000-0005-0000-0000-000011000000}"/>
    <cellStyle name="Enter Currency (0)" xfId="19" xr:uid="{00000000-0005-0000-0000-000012000000}"/>
    <cellStyle name="Enter Currency (2)" xfId="20" xr:uid="{00000000-0005-0000-0000-000013000000}"/>
    <cellStyle name="Enter Units (0)" xfId="21" xr:uid="{00000000-0005-0000-0000-000014000000}"/>
    <cellStyle name="Enter Units (1)" xfId="22" xr:uid="{00000000-0005-0000-0000-000015000000}"/>
    <cellStyle name="Enter Units (2)" xfId="23" xr:uid="{00000000-0005-0000-0000-000016000000}"/>
    <cellStyle name="Fixed" xfId="24" xr:uid="{00000000-0005-0000-0000-000017000000}"/>
    <cellStyle name="Header1" xfId="25" xr:uid="{00000000-0005-0000-0000-000018000000}"/>
    <cellStyle name="Header2" xfId="26" xr:uid="{00000000-0005-0000-0000-000019000000}"/>
    <cellStyle name="Italic - Style1" xfId="27" xr:uid="{00000000-0005-0000-0000-00001A000000}"/>
    <cellStyle name="Italic - Style5" xfId="28" xr:uid="{00000000-0005-0000-0000-00001B000000}"/>
    <cellStyle name="Link Currency (0)" xfId="29" xr:uid="{00000000-0005-0000-0000-00001C000000}"/>
    <cellStyle name="Link Currency (2)" xfId="30" xr:uid="{00000000-0005-0000-0000-00001D000000}"/>
    <cellStyle name="Link Units (0)" xfId="31" xr:uid="{00000000-0005-0000-0000-00001E000000}"/>
    <cellStyle name="Link Units (1)" xfId="32" xr:uid="{00000000-0005-0000-0000-00001F000000}"/>
    <cellStyle name="Link Units (2)" xfId="33" xr:uid="{00000000-0005-0000-0000-000020000000}"/>
    <cellStyle name="Normal" xfId="0" builtinId="0"/>
    <cellStyle name="Normal - Style1" xfId="34" xr:uid="{00000000-0005-0000-0000-000022000000}"/>
    <cellStyle name="Normal 2" xfId="35" xr:uid="{00000000-0005-0000-0000-000023000000}"/>
    <cellStyle name="Normal 3" xfId="36" xr:uid="{00000000-0005-0000-0000-000024000000}"/>
    <cellStyle name="Percent" xfId="37" builtinId="5"/>
    <cellStyle name="Percent [0]" xfId="38" xr:uid="{00000000-0005-0000-0000-000026000000}"/>
    <cellStyle name="Percent [00]" xfId="39" xr:uid="{00000000-0005-0000-0000-000027000000}"/>
    <cellStyle name="Percent 3" xfId="40" xr:uid="{00000000-0005-0000-0000-000028000000}"/>
    <cellStyle name="PrePop Currency (0)" xfId="41" xr:uid="{00000000-0005-0000-0000-000029000000}"/>
    <cellStyle name="PrePop Currency (2)" xfId="42" xr:uid="{00000000-0005-0000-0000-00002A000000}"/>
    <cellStyle name="PrePop Units (0)" xfId="43" xr:uid="{00000000-0005-0000-0000-00002B000000}"/>
    <cellStyle name="PrePop Units (1)" xfId="44" xr:uid="{00000000-0005-0000-0000-00002C000000}"/>
    <cellStyle name="PrePop Units (2)" xfId="45" xr:uid="{00000000-0005-0000-0000-00002D000000}"/>
    <cellStyle name="Text Indent A" xfId="46" xr:uid="{00000000-0005-0000-0000-00002E000000}"/>
    <cellStyle name="Text Indent B" xfId="47" xr:uid="{00000000-0005-0000-0000-00002F000000}"/>
    <cellStyle name="Text Indent C" xfId="48" xr:uid="{00000000-0005-0000-0000-000030000000}"/>
    <cellStyle name="Yellow - Style6_PRICESHC" xfId="49" xr:uid="{00000000-0005-0000-0000-00003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25" b="1" i="0" u="none" strike="noStrike" baseline="0">
                <a:solidFill>
                  <a:srgbClr val="000000"/>
                </a:solidFill>
                <a:latin typeface="Arial"/>
                <a:ea typeface="Arial"/>
                <a:cs typeface="Arial"/>
              </a:defRPr>
            </a:pPr>
            <a:r>
              <a:t>Steer prices</a:t>
            </a:r>
          </a:p>
        </c:rich>
      </c:tx>
      <c:layout>
        <c:manualLayout>
          <c:xMode val="edge"/>
          <c:yMode val="edge"/>
          <c:x val="0.45173766464771392"/>
          <c:y val="3.225813137114053E-2"/>
        </c:manualLayout>
      </c:layout>
      <c:overlay val="0"/>
      <c:spPr>
        <a:noFill/>
        <a:ln w="25400">
          <a:noFill/>
        </a:ln>
      </c:spPr>
    </c:title>
    <c:autoTitleDeleted val="0"/>
    <c:plotArea>
      <c:layout>
        <c:manualLayout>
          <c:layoutTarget val="inner"/>
          <c:xMode val="edge"/>
          <c:yMode val="edge"/>
          <c:x val="7.62548621948064E-2"/>
          <c:y val="0.14091710020024548"/>
          <c:w val="0.89575331793392832"/>
          <c:h val="0.52461908387802236"/>
        </c:manualLayout>
      </c:layout>
      <c:lineChart>
        <c:grouping val="standard"/>
        <c:varyColors val="0"/>
        <c:ser>
          <c:idx val="0"/>
          <c:order val="0"/>
          <c:tx>
            <c:strRef>
              <c:f>Prices!$D$101</c:f>
              <c:strCache>
                <c:ptCount val="1"/>
                <c:pt idx="0">
                  <c:v>201-300 stores Gracemere c/kg live</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cat>
            <c:numRef>
              <c:f>Prices!$C$102:$C$236</c:f>
              <c:numCache>
                <c:formatCode>d/mm/yy</c:formatCode>
                <c:ptCount val="135"/>
                <c:pt idx="0">
                  <c:v>39969</c:v>
                </c:pt>
                <c:pt idx="1">
                  <c:v>39976</c:v>
                </c:pt>
                <c:pt idx="2">
                  <c:v>39983</c:v>
                </c:pt>
                <c:pt idx="3">
                  <c:v>39990</c:v>
                </c:pt>
                <c:pt idx="4">
                  <c:v>39997</c:v>
                </c:pt>
                <c:pt idx="5">
                  <c:v>40004</c:v>
                </c:pt>
                <c:pt idx="6">
                  <c:v>40011</c:v>
                </c:pt>
                <c:pt idx="7">
                  <c:v>40018</c:v>
                </c:pt>
                <c:pt idx="8">
                  <c:v>40025</c:v>
                </c:pt>
                <c:pt idx="9">
                  <c:v>40032</c:v>
                </c:pt>
                <c:pt idx="10">
                  <c:v>40039</c:v>
                </c:pt>
                <c:pt idx="11">
                  <c:v>40046</c:v>
                </c:pt>
                <c:pt idx="12">
                  <c:v>40053</c:v>
                </c:pt>
                <c:pt idx="13">
                  <c:v>40060</c:v>
                </c:pt>
                <c:pt idx="14">
                  <c:v>40067</c:v>
                </c:pt>
                <c:pt idx="15">
                  <c:v>40074</c:v>
                </c:pt>
                <c:pt idx="16">
                  <c:v>40081</c:v>
                </c:pt>
                <c:pt idx="17">
                  <c:v>40088</c:v>
                </c:pt>
                <c:pt idx="18">
                  <c:v>40095</c:v>
                </c:pt>
                <c:pt idx="19">
                  <c:v>40102</c:v>
                </c:pt>
                <c:pt idx="20">
                  <c:v>40109</c:v>
                </c:pt>
                <c:pt idx="21">
                  <c:v>40116</c:v>
                </c:pt>
                <c:pt idx="22">
                  <c:v>40123</c:v>
                </c:pt>
                <c:pt idx="23">
                  <c:v>40130</c:v>
                </c:pt>
                <c:pt idx="24">
                  <c:v>40137</c:v>
                </c:pt>
                <c:pt idx="25">
                  <c:v>40144</c:v>
                </c:pt>
                <c:pt idx="26">
                  <c:v>40151</c:v>
                </c:pt>
                <c:pt idx="27">
                  <c:v>40158</c:v>
                </c:pt>
                <c:pt idx="28">
                  <c:v>40193</c:v>
                </c:pt>
                <c:pt idx="29">
                  <c:v>40200</c:v>
                </c:pt>
                <c:pt idx="30">
                  <c:v>40207</c:v>
                </c:pt>
                <c:pt idx="31">
                  <c:v>40214</c:v>
                </c:pt>
                <c:pt idx="32">
                  <c:v>40235</c:v>
                </c:pt>
                <c:pt idx="33">
                  <c:v>40242</c:v>
                </c:pt>
                <c:pt idx="34">
                  <c:v>40249</c:v>
                </c:pt>
                <c:pt idx="35">
                  <c:v>40256</c:v>
                </c:pt>
                <c:pt idx="36">
                  <c:v>40263</c:v>
                </c:pt>
                <c:pt idx="37">
                  <c:v>40270</c:v>
                </c:pt>
                <c:pt idx="38">
                  <c:v>40277</c:v>
                </c:pt>
                <c:pt idx="39">
                  <c:v>40291</c:v>
                </c:pt>
                <c:pt idx="40">
                  <c:v>40298</c:v>
                </c:pt>
                <c:pt idx="41">
                  <c:v>40305</c:v>
                </c:pt>
                <c:pt idx="42">
                  <c:v>40312</c:v>
                </c:pt>
                <c:pt idx="43">
                  <c:v>40319</c:v>
                </c:pt>
                <c:pt idx="44">
                  <c:v>40326</c:v>
                </c:pt>
                <c:pt idx="45">
                  <c:v>40333</c:v>
                </c:pt>
                <c:pt idx="46">
                  <c:v>40340</c:v>
                </c:pt>
                <c:pt idx="47">
                  <c:v>40347</c:v>
                </c:pt>
                <c:pt idx="48">
                  <c:v>40354</c:v>
                </c:pt>
                <c:pt idx="49">
                  <c:v>40361</c:v>
                </c:pt>
                <c:pt idx="50">
                  <c:v>40375</c:v>
                </c:pt>
                <c:pt idx="51">
                  <c:v>40382</c:v>
                </c:pt>
                <c:pt idx="52">
                  <c:v>40389</c:v>
                </c:pt>
                <c:pt idx="53">
                  <c:v>40396</c:v>
                </c:pt>
                <c:pt idx="54">
                  <c:v>40403</c:v>
                </c:pt>
                <c:pt idx="55">
                  <c:v>40410</c:v>
                </c:pt>
                <c:pt idx="56">
                  <c:v>40417</c:v>
                </c:pt>
                <c:pt idx="57">
                  <c:v>40424</c:v>
                </c:pt>
                <c:pt idx="58">
                  <c:v>40431</c:v>
                </c:pt>
                <c:pt idx="59">
                  <c:v>40438</c:v>
                </c:pt>
                <c:pt idx="60">
                  <c:v>40452</c:v>
                </c:pt>
                <c:pt idx="61">
                  <c:v>40459</c:v>
                </c:pt>
                <c:pt idx="62">
                  <c:v>40466</c:v>
                </c:pt>
                <c:pt idx="63">
                  <c:v>40473</c:v>
                </c:pt>
                <c:pt idx="64">
                  <c:v>40480</c:v>
                </c:pt>
                <c:pt idx="65">
                  <c:v>40487</c:v>
                </c:pt>
                <c:pt idx="66">
                  <c:v>40494</c:v>
                </c:pt>
                <c:pt idx="67">
                  <c:v>40501</c:v>
                </c:pt>
                <c:pt idx="68">
                  <c:v>40508</c:v>
                </c:pt>
                <c:pt idx="69">
                  <c:v>40515</c:v>
                </c:pt>
                <c:pt idx="70">
                  <c:v>40522</c:v>
                </c:pt>
                <c:pt idx="71">
                  <c:v>40571</c:v>
                </c:pt>
                <c:pt idx="72">
                  <c:v>40578</c:v>
                </c:pt>
                <c:pt idx="73">
                  <c:v>40585</c:v>
                </c:pt>
                <c:pt idx="74">
                  <c:v>40592</c:v>
                </c:pt>
                <c:pt idx="75">
                  <c:v>40599</c:v>
                </c:pt>
                <c:pt idx="76">
                  <c:v>40606</c:v>
                </c:pt>
                <c:pt idx="77">
                  <c:v>40613</c:v>
                </c:pt>
                <c:pt idx="78">
                  <c:v>40620</c:v>
                </c:pt>
                <c:pt idx="79">
                  <c:v>40627</c:v>
                </c:pt>
                <c:pt idx="80">
                  <c:v>40641</c:v>
                </c:pt>
                <c:pt idx="81">
                  <c:v>40662</c:v>
                </c:pt>
                <c:pt idx="82">
                  <c:v>40669</c:v>
                </c:pt>
                <c:pt idx="83">
                  <c:v>40676</c:v>
                </c:pt>
                <c:pt idx="84">
                  <c:v>40683</c:v>
                </c:pt>
                <c:pt idx="85">
                  <c:v>40697</c:v>
                </c:pt>
                <c:pt idx="86">
                  <c:v>40704</c:v>
                </c:pt>
                <c:pt idx="87">
                  <c:v>40711</c:v>
                </c:pt>
                <c:pt idx="88">
                  <c:v>40718</c:v>
                </c:pt>
                <c:pt idx="89">
                  <c:v>40725</c:v>
                </c:pt>
                <c:pt idx="90">
                  <c:v>40732</c:v>
                </c:pt>
                <c:pt idx="91">
                  <c:v>40739</c:v>
                </c:pt>
                <c:pt idx="92">
                  <c:v>40746</c:v>
                </c:pt>
                <c:pt idx="93">
                  <c:v>40753</c:v>
                </c:pt>
                <c:pt idx="94">
                  <c:v>40760</c:v>
                </c:pt>
                <c:pt idx="95">
                  <c:v>40767</c:v>
                </c:pt>
                <c:pt idx="96">
                  <c:v>40774</c:v>
                </c:pt>
                <c:pt idx="97">
                  <c:v>40781</c:v>
                </c:pt>
                <c:pt idx="98">
                  <c:v>40788</c:v>
                </c:pt>
                <c:pt idx="99">
                  <c:v>40795</c:v>
                </c:pt>
                <c:pt idx="100">
                  <c:v>40802</c:v>
                </c:pt>
                <c:pt idx="101">
                  <c:v>40809</c:v>
                </c:pt>
                <c:pt idx="102">
                  <c:v>40816</c:v>
                </c:pt>
                <c:pt idx="103">
                  <c:v>40823</c:v>
                </c:pt>
                <c:pt idx="104">
                  <c:v>40830</c:v>
                </c:pt>
                <c:pt idx="105">
                  <c:v>40837</c:v>
                </c:pt>
                <c:pt idx="106">
                  <c:v>40844</c:v>
                </c:pt>
                <c:pt idx="107">
                  <c:v>40851</c:v>
                </c:pt>
                <c:pt idx="108">
                  <c:v>40858</c:v>
                </c:pt>
                <c:pt idx="109">
                  <c:v>40865</c:v>
                </c:pt>
                <c:pt idx="110">
                  <c:v>40872</c:v>
                </c:pt>
                <c:pt idx="111">
                  <c:v>40879</c:v>
                </c:pt>
                <c:pt idx="112">
                  <c:v>40886</c:v>
                </c:pt>
                <c:pt idx="113">
                  <c:v>40893</c:v>
                </c:pt>
                <c:pt idx="114">
                  <c:v>40921</c:v>
                </c:pt>
                <c:pt idx="115">
                  <c:v>40928</c:v>
                </c:pt>
                <c:pt idx="116">
                  <c:v>40956</c:v>
                </c:pt>
                <c:pt idx="117">
                  <c:v>40963</c:v>
                </c:pt>
                <c:pt idx="118">
                  <c:v>40970</c:v>
                </c:pt>
                <c:pt idx="119">
                  <c:v>40977</c:v>
                </c:pt>
                <c:pt idx="120">
                  <c:v>40984</c:v>
                </c:pt>
                <c:pt idx="121">
                  <c:v>40991</c:v>
                </c:pt>
                <c:pt idx="122">
                  <c:v>40998</c:v>
                </c:pt>
                <c:pt idx="123">
                  <c:v>41012</c:v>
                </c:pt>
                <c:pt idx="124">
                  <c:v>41019</c:v>
                </c:pt>
                <c:pt idx="125">
                  <c:v>41026</c:v>
                </c:pt>
                <c:pt idx="126">
                  <c:v>41033</c:v>
                </c:pt>
                <c:pt idx="127">
                  <c:v>41040</c:v>
                </c:pt>
                <c:pt idx="128">
                  <c:v>41047</c:v>
                </c:pt>
                <c:pt idx="129">
                  <c:v>41054</c:v>
                </c:pt>
                <c:pt idx="130">
                  <c:v>41061</c:v>
                </c:pt>
                <c:pt idx="131">
                  <c:v>41068</c:v>
                </c:pt>
                <c:pt idx="132">
                  <c:v>41075</c:v>
                </c:pt>
                <c:pt idx="133">
                  <c:v>41082</c:v>
                </c:pt>
                <c:pt idx="134">
                  <c:v>41089</c:v>
                </c:pt>
              </c:numCache>
            </c:numRef>
          </c:cat>
          <c:val>
            <c:numRef>
              <c:f>Prices!$D$102:$D$236</c:f>
              <c:numCache>
                <c:formatCode>#,##0</c:formatCode>
                <c:ptCount val="135"/>
                <c:pt idx="0">
                  <c:v>180</c:v>
                </c:pt>
                <c:pt idx="1">
                  <c:v>164</c:v>
                </c:pt>
                <c:pt idx="2">
                  <c:v>173</c:v>
                </c:pt>
                <c:pt idx="3">
                  <c:v>173</c:v>
                </c:pt>
                <c:pt idx="4">
                  <c:v>155</c:v>
                </c:pt>
                <c:pt idx="5">
                  <c:v>160</c:v>
                </c:pt>
                <c:pt idx="6">
                  <c:v>165</c:v>
                </c:pt>
                <c:pt idx="7">
                  <c:v>163</c:v>
                </c:pt>
                <c:pt idx="8">
                  <c:v>163</c:v>
                </c:pt>
                <c:pt idx="9">
                  <c:v>160</c:v>
                </c:pt>
                <c:pt idx="10">
                  <c:v>140</c:v>
                </c:pt>
                <c:pt idx="11">
                  <c:v>155</c:v>
                </c:pt>
                <c:pt idx="12">
                  <c:v>166</c:v>
                </c:pt>
                <c:pt idx="13">
                  <c:v>166</c:v>
                </c:pt>
                <c:pt idx="14">
                  <c:v>160</c:v>
                </c:pt>
                <c:pt idx="15">
                  <c:v>147</c:v>
                </c:pt>
                <c:pt idx="16">
                  <c:v>153</c:v>
                </c:pt>
                <c:pt idx="17">
                  <c:v>163</c:v>
                </c:pt>
                <c:pt idx="18">
                  <c:v>165</c:v>
                </c:pt>
                <c:pt idx="19">
                  <c:v>149</c:v>
                </c:pt>
                <c:pt idx="20">
                  <c:v>160</c:v>
                </c:pt>
                <c:pt idx="21">
                  <c:v>164</c:v>
                </c:pt>
                <c:pt idx="22">
                  <c:v>161</c:v>
                </c:pt>
                <c:pt idx="23">
                  <c:v>160</c:v>
                </c:pt>
                <c:pt idx="24">
                  <c:v>160</c:v>
                </c:pt>
                <c:pt idx="25">
                  <c:v>150</c:v>
                </c:pt>
                <c:pt idx="26">
                  <c:v>125</c:v>
                </c:pt>
                <c:pt idx="27">
                  <c:v>142</c:v>
                </c:pt>
                <c:pt idx="28">
                  <c:v>169</c:v>
                </c:pt>
                <c:pt idx="29">
                  <c:v>165</c:v>
                </c:pt>
                <c:pt idx="30">
                  <c:v>157</c:v>
                </c:pt>
                <c:pt idx="31">
                  <c:v>159</c:v>
                </c:pt>
                <c:pt idx="32">
                  <c:v>184</c:v>
                </c:pt>
                <c:pt idx="33">
                  <c:v>194</c:v>
                </c:pt>
                <c:pt idx="34">
                  <c:v>192</c:v>
                </c:pt>
                <c:pt idx="35">
                  <c:v>183</c:v>
                </c:pt>
                <c:pt idx="36">
                  <c:v>185</c:v>
                </c:pt>
                <c:pt idx="37">
                  <c:v>189</c:v>
                </c:pt>
                <c:pt idx="38">
                  <c:v>180</c:v>
                </c:pt>
                <c:pt idx="39">
                  <c:v>183</c:v>
                </c:pt>
                <c:pt idx="40">
                  <c:v>176</c:v>
                </c:pt>
                <c:pt idx="41">
                  <c:v>186</c:v>
                </c:pt>
                <c:pt idx="42">
                  <c:v>179</c:v>
                </c:pt>
                <c:pt idx="43">
                  <c:v>184</c:v>
                </c:pt>
                <c:pt idx="44">
                  <c:v>180</c:v>
                </c:pt>
                <c:pt idx="45">
                  <c:v>171</c:v>
                </c:pt>
                <c:pt idx="46">
                  <c:v>185</c:v>
                </c:pt>
                <c:pt idx="47">
                  <c:v>178</c:v>
                </c:pt>
                <c:pt idx="48">
                  <c:v>186</c:v>
                </c:pt>
                <c:pt idx="49">
                  <c:v>174</c:v>
                </c:pt>
                <c:pt idx="50">
                  <c:v>186</c:v>
                </c:pt>
                <c:pt idx="51">
                  <c:v>186</c:v>
                </c:pt>
                <c:pt idx="52">
                  <c:v>182</c:v>
                </c:pt>
                <c:pt idx="53">
                  <c:v>189</c:v>
                </c:pt>
                <c:pt idx="54">
                  <c:v>206</c:v>
                </c:pt>
                <c:pt idx="55">
                  <c:v>196</c:v>
                </c:pt>
                <c:pt idx="56">
                  <c:v>190</c:v>
                </c:pt>
                <c:pt idx="57">
                  <c:v>186</c:v>
                </c:pt>
                <c:pt idx="58">
                  <c:v>177</c:v>
                </c:pt>
                <c:pt idx="59">
                  <c:v>189</c:v>
                </c:pt>
                <c:pt idx="60">
                  <c:v>185</c:v>
                </c:pt>
                <c:pt idx="61">
                  <c:v>188</c:v>
                </c:pt>
                <c:pt idx="62">
                  <c:v>195</c:v>
                </c:pt>
                <c:pt idx="63">
                  <c:v>195</c:v>
                </c:pt>
                <c:pt idx="64">
                  <c:v>192</c:v>
                </c:pt>
                <c:pt idx="65">
                  <c:v>194</c:v>
                </c:pt>
                <c:pt idx="66">
                  <c:v>200</c:v>
                </c:pt>
                <c:pt idx="67">
                  <c:v>193</c:v>
                </c:pt>
                <c:pt idx="68">
                  <c:v>208</c:v>
                </c:pt>
                <c:pt idx="69">
                  <c:v>204</c:v>
                </c:pt>
                <c:pt idx="70">
                  <c:v>216</c:v>
                </c:pt>
                <c:pt idx="71">
                  <c:v>210</c:v>
                </c:pt>
                <c:pt idx="72">
                  <c:v>203</c:v>
                </c:pt>
                <c:pt idx="73">
                  <c:v>206</c:v>
                </c:pt>
                <c:pt idx="74">
                  <c:v>199</c:v>
                </c:pt>
                <c:pt idx="75">
                  <c:v>208</c:v>
                </c:pt>
                <c:pt idx="76">
                  <c:v>201</c:v>
                </c:pt>
                <c:pt idx="77">
                  <c:v>205</c:v>
                </c:pt>
                <c:pt idx="78">
                  <c:v>205</c:v>
                </c:pt>
                <c:pt idx="79">
                  <c:v>205</c:v>
                </c:pt>
                <c:pt idx="80">
                  <c:v>227.4</c:v>
                </c:pt>
                <c:pt idx="81">
                  <c:v>219</c:v>
                </c:pt>
                <c:pt idx="82">
                  <c:v>206</c:v>
                </c:pt>
                <c:pt idx="83">
                  <c:v>217</c:v>
                </c:pt>
                <c:pt idx="84">
                  <c:v>213.6</c:v>
                </c:pt>
                <c:pt idx="85">
                  <c:v>224.1</c:v>
                </c:pt>
                <c:pt idx="86">
                  <c:v>204.1</c:v>
                </c:pt>
                <c:pt idx="87">
                  <c:v>214</c:v>
                </c:pt>
                <c:pt idx="88">
                  <c:v>206</c:v>
                </c:pt>
                <c:pt idx="89">
                  <c:v>207</c:v>
                </c:pt>
                <c:pt idx="90">
                  <c:v>193</c:v>
                </c:pt>
                <c:pt idx="91">
                  <c:v>191</c:v>
                </c:pt>
                <c:pt idx="92">
                  <c:v>202</c:v>
                </c:pt>
                <c:pt idx="93">
                  <c:v>202</c:v>
                </c:pt>
                <c:pt idx="94">
                  <c:v>200</c:v>
                </c:pt>
                <c:pt idx="95">
                  <c:v>200.1</c:v>
                </c:pt>
                <c:pt idx="96">
                  <c:v>196</c:v>
                </c:pt>
                <c:pt idx="97">
                  <c:v>207</c:v>
                </c:pt>
                <c:pt idx="98">
                  <c:v>203</c:v>
                </c:pt>
                <c:pt idx="99">
                  <c:v>221</c:v>
                </c:pt>
                <c:pt idx="100">
                  <c:v>213</c:v>
                </c:pt>
                <c:pt idx="101">
                  <c:v>213</c:v>
                </c:pt>
                <c:pt idx="102">
                  <c:v>193</c:v>
                </c:pt>
                <c:pt idx="103">
                  <c:v>206</c:v>
                </c:pt>
                <c:pt idx="104">
                  <c:v>202</c:v>
                </c:pt>
                <c:pt idx="105">
                  <c:v>204</c:v>
                </c:pt>
                <c:pt idx="106">
                  <c:v>202</c:v>
                </c:pt>
                <c:pt idx="107">
                  <c:v>203</c:v>
                </c:pt>
                <c:pt idx="108">
                  <c:v>211</c:v>
                </c:pt>
                <c:pt idx="109">
                  <c:v>213</c:v>
                </c:pt>
                <c:pt idx="110">
                  <c:v>206</c:v>
                </c:pt>
                <c:pt idx="111">
                  <c:v>210</c:v>
                </c:pt>
                <c:pt idx="112">
                  <c:v>214</c:v>
                </c:pt>
                <c:pt idx="113">
                  <c:v>225</c:v>
                </c:pt>
                <c:pt idx="115">
                  <c:v>206</c:v>
                </c:pt>
                <c:pt idx="116">
                  <c:v>209</c:v>
                </c:pt>
                <c:pt idx="117">
                  <c:v>215</c:v>
                </c:pt>
                <c:pt idx="118">
                  <c:v>218</c:v>
                </c:pt>
                <c:pt idx="119">
                  <c:v>208</c:v>
                </c:pt>
                <c:pt idx="120">
                  <c:v>222</c:v>
                </c:pt>
                <c:pt idx="122">
                  <c:v>218</c:v>
                </c:pt>
                <c:pt idx="123">
                  <c:v>205</c:v>
                </c:pt>
                <c:pt idx="124">
                  <c:v>201</c:v>
                </c:pt>
                <c:pt idx="125">
                  <c:v>200</c:v>
                </c:pt>
                <c:pt idx="126">
                  <c:v>204</c:v>
                </c:pt>
                <c:pt idx="127">
                  <c:v>193</c:v>
                </c:pt>
                <c:pt idx="128">
                  <c:v>194</c:v>
                </c:pt>
                <c:pt idx="129">
                  <c:v>191</c:v>
                </c:pt>
                <c:pt idx="130">
                  <c:v>199</c:v>
                </c:pt>
                <c:pt idx="131">
                  <c:v>193</c:v>
                </c:pt>
                <c:pt idx="133">
                  <c:v>202</c:v>
                </c:pt>
                <c:pt idx="134">
                  <c:v>187</c:v>
                </c:pt>
              </c:numCache>
            </c:numRef>
          </c:val>
          <c:smooth val="0"/>
          <c:extLst>
            <c:ext xmlns:c16="http://schemas.microsoft.com/office/drawing/2014/chart" uri="{C3380CC4-5D6E-409C-BE32-E72D297353CC}">
              <c16:uniqueId val="{00000000-E1C0-424B-9A7C-03320C97EF0A}"/>
            </c:ext>
          </c:extLst>
        </c:ser>
        <c:ser>
          <c:idx val="1"/>
          <c:order val="1"/>
          <c:tx>
            <c:strRef>
              <c:f>Prices!$E$101</c:f>
              <c:strCache>
                <c:ptCount val="1"/>
                <c:pt idx="0">
                  <c:v>301-400 stores Gracemere c/kg live</c:v>
                </c:pt>
              </c:strCache>
            </c:strRef>
          </c:tx>
          <c:spPr>
            <a:ln w="12700">
              <a:solidFill>
                <a:srgbClr val="FF00FF"/>
              </a:solidFill>
              <a:prstDash val="solid"/>
            </a:ln>
          </c:spPr>
          <c:marker>
            <c:symbol val="square"/>
            <c:size val="5"/>
            <c:spPr>
              <a:solidFill>
                <a:srgbClr val="FF00FF"/>
              </a:solidFill>
              <a:ln>
                <a:solidFill>
                  <a:srgbClr val="FF00FF"/>
                </a:solidFill>
                <a:prstDash val="solid"/>
              </a:ln>
            </c:spPr>
          </c:marker>
          <c:trendline>
            <c:spPr>
              <a:ln w="25400">
                <a:solidFill>
                  <a:srgbClr val="000000"/>
                </a:solidFill>
                <a:prstDash val="solid"/>
              </a:ln>
            </c:spPr>
            <c:trendlineType val="linear"/>
            <c:dispRSqr val="0"/>
            <c:dispEq val="1"/>
            <c:trendlineLbl>
              <c:layout>
                <c:manualLayout>
                  <c:xMode val="edge"/>
                  <c:yMode val="edge"/>
                  <c:x val="0.79054091313349928"/>
                  <c:y val="0.51443230555029373"/>
                </c:manualLayout>
              </c:layout>
              <c:numFmt formatCode="General" sourceLinked="0"/>
              <c:spPr>
                <a:noFill/>
                <a:ln w="25400">
                  <a:noFill/>
                </a:ln>
              </c:spPr>
              <c:txPr>
                <a:bodyPr/>
                <a:lstStyle/>
                <a:p>
                  <a:pPr>
                    <a:defRPr sz="850" b="0" i="0" u="none" strike="noStrike" baseline="0">
                      <a:solidFill>
                        <a:srgbClr val="000000"/>
                      </a:solidFill>
                      <a:latin typeface="Arial"/>
                      <a:ea typeface="Arial"/>
                      <a:cs typeface="Arial"/>
                    </a:defRPr>
                  </a:pPr>
                  <a:endParaRPr lang="en-US"/>
                </a:p>
              </c:txPr>
            </c:trendlineLbl>
          </c:trendline>
          <c:cat>
            <c:numRef>
              <c:f>Prices!$C$102:$C$236</c:f>
              <c:numCache>
                <c:formatCode>d/mm/yy</c:formatCode>
                <c:ptCount val="135"/>
                <c:pt idx="0">
                  <c:v>39969</c:v>
                </c:pt>
                <c:pt idx="1">
                  <c:v>39976</c:v>
                </c:pt>
                <c:pt idx="2">
                  <c:v>39983</c:v>
                </c:pt>
                <c:pt idx="3">
                  <c:v>39990</c:v>
                </c:pt>
                <c:pt idx="4">
                  <c:v>39997</c:v>
                </c:pt>
                <c:pt idx="5">
                  <c:v>40004</c:v>
                </c:pt>
                <c:pt idx="6">
                  <c:v>40011</c:v>
                </c:pt>
                <c:pt idx="7">
                  <c:v>40018</c:v>
                </c:pt>
                <c:pt idx="8">
                  <c:v>40025</c:v>
                </c:pt>
                <c:pt idx="9">
                  <c:v>40032</c:v>
                </c:pt>
                <c:pt idx="10">
                  <c:v>40039</c:v>
                </c:pt>
                <c:pt idx="11">
                  <c:v>40046</c:v>
                </c:pt>
                <c:pt idx="12">
                  <c:v>40053</c:v>
                </c:pt>
                <c:pt idx="13">
                  <c:v>40060</c:v>
                </c:pt>
                <c:pt idx="14">
                  <c:v>40067</c:v>
                </c:pt>
                <c:pt idx="15">
                  <c:v>40074</c:v>
                </c:pt>
                <c:pt idx="16">
                  <c:v>40081</c:v>
                </c:pt>
                <c:pt idx="17">
                  <c:v>40088</c:v>
                </c:pt>
                <c:pt idx="18">
                  <c:v>40095</c:v>
                </c:pt>
                <c:pt idx="19">
                  <c:v>40102</c:v>
                </c:pt>
                <c:pt idx="20">
                  <c:v>40109</c:v>
                </c:pt>
                <c:pt idx="21">
                  <c:v>40116</c:v>
                </c:pt>
                <c:pt idx="22">
                  <c:v>40123</c:v>
                </c:pt>
                <c:pt idx="23">
                  <c:v>40130</c:v>
                </c:pt>
                <c:pt idx="24">
                  <c:v>40137</c:v>
                </c:pt>
                <c:pt idx="25">
                  <c:v>40144</c:v>
                </c:pt>
                <c:pt idx="26">
                  <c:v>40151</c:v>
                </c:pt>
                <c:pt idx="27">
                  <c:v>40158</c:v>
                </c:pt>
                <c:pt idx="28">
                  <c:v>40193</c:v>
                </c:pt>
                <c:pt idx="29">
                  <c:v>40200</c:v>
                </c:pt>
                <c:pt idx="30">
                  <c:v>40207</c:v>
                </c:pt>
                <c:pt idx="31">
                  <c:v>40214</c:v>
                </c:pt>
                <c:pt idx="32">
                  <c:v>40235</c:v>
                </c:pt>
                <c:pt idx="33">
                  <c:v>40242</c:v>
                </c:pt>
                <c:pt idx="34">
                  <c:v>40249</c:v>
                </c:pt>
                <c:pt idx="35">
                  <c:v>40256</c:v>
                </c:pt>
                <c:pt idx="36">
                  <c:v>40263</c:v>
                </c:pt>
                <c:pt idx="37">
                  <c:v>40270</c:v>
                </c:pt>
                <c:pt idx="38">
                  <c:v>40277</c:v>
                </c:pt>
                <c:pt idx="39">
                  <c:v>40291</c:v>
                </c:pt>
                <c:pt idx="40">
                  <c:v>40298</c:v>
                </c:pt>
                <c:pt idx="41">
                  <c:v>40305</c:v>
                </c:pt>
                <c:pt idx="42">
                  <c:v>40312</c:v>
                </c:pt>
                <c:pt idx="43">
                  <c:v>40319</c:v>
                </c:pt>
                <c:pt idx="44">
                  <c:v>40326</c:v>
                </c:pt>
                <c:pt idx="45">
                  <c:v>40333</c:v>
                </c:pt>
                <c:pt idx="46">
                  <c:v>40340</c:v>
                </c:pt>
                <c:pt idx="47">
                  <c:v>40347</c:v>
                </c:pt>
                <c:pt idx="48">
                  <c:v>40354</c:v>
                </c:pt>
                <c:pt idx="49">
                  <c:v>40361</c:v>
                </c:pt>
                <c:pt idx="50">
                  <c:v>40375</c:v>
                </c:pt>
                <c:pt idx="51">
                  <c:v>40382</c:v>
                </c:pt>
                <c:pt idx="52">
                  <c:v>40389</c:v>
                </c:pt>
                <c:pt idx="53">
                  <c:v>40396</c:v>
                </c:pt>
                <c:pt idx="54">
                  <c:v>40403</c:v>
                </c:pt>
                <c:pt idx="55">
                  <c:v>40410</c:v>
                </c:pt>
                <c:pt idx="56">
                  <c:v>40417</c:v>
                </c:pt>
                <c:pt idx="57">
                  <c:v>40424</c:v>
                </c:pt>
                <c:pt idx="58">
                  <c:v>40431</c:v>
                </c:pt>
                <c:pt idx="59">
                  <c:v>40438</c:v>
                </c:pt>
                <c:pt idx="60">
                  <c:v>40452</c:v>
                </c:pt>
                <c:pt idx="61">
                  <c:v>40459</c:v>
                </c:pt>
                <c:pt idx="62">
                  <c:v>40466</c:v>
                </c:pt>
                <c:pt idx="63">
                  <c:v>40473</c:v>
                </c:pt>
                <c:pt idx="64">
                  <c:v>40480</c:v>
                </c:pt>
                <c:pt idx="65">
                  <c:v>40487</c:v>
                </c:pt>
                <c:pt idx="66">
                  <c:v>40494</c:v>
                </c:pt>
                <c:pt idx="67">
                  <c:v>40501</c:v>
                </c:pt>
                <c:pt idx="68">
                  <c:v>40508</c:v>
                </c:pt>
                <c:pt idx="69">
                  <c:v>40515</c:v>
                </c:pt>
                <c:pt idx="70">
                  <c:v>40522</c:v>
                </c:pt>
                <c:pt idx="71">
                  <c:v>40571</c:v>
                </c:pt>
                <c:pt idx="72">
                  <c:v>40578</c:v>
                </c:pt>
                <c:pt idx="73">
                  <c:v>40585</c:v>
                </c:pt>
                <c:pt idx="74">
                  <c:v>40592</c:v>
                </c:pt>
                <c:pt idx="75">
                  <c:v>40599</c:v>
                </c:pt>
                <c:pt idx="76">
                  <c:v>40606</c:v>
                </c:pt>
                <c:pt idx="77">
                  <c:v>40613</c:v>
                </c:pt>
                <c:pt idx="78">
                  <c:v>40620</c:v>
                </c:pt>
                <c:pt idx="79">
                  <c:v>40627</c:v>
                </c:pt>
                <c:pt idx="80">
                  <c:v>40641</c:v>
                </c:pt>
                <c:pt idx="81">
                  <c:v>40662</c:v>
                </c:pt>
                <c:pt idx="82">
                  <c:v>40669</c:v>
                </c:pt>
                <c:pt idx="83">
                  <c:v>40676</c:v>
                </c:pt>
                <c:pt idx="84">
                  <c:v>40683</c:v>
                </c:pt>
                <c:pt idx="85">
                  <c:v>40697</c:v>
                </c:pt>
                <c:pt idx="86">
                  <c:v>40704</c:v>
                </c:pt>
                <c:pt idx="87">
                  <c:v>40711</c:v>
                </c:pt>
                <c:pt idx="88">
                  <c:v>40718</c:v>
                </c:pt>
                <c:pt idx="89">
                  <c:v>40725</c:v>
                </c:pt>
                <c:pt idx="90">
                  <c:v>40732</c:v>
                </c:pt>
                <c:pt idx="91">
                  <c:v>40739</c:v>
                </c:pt>
                <c:pt idx="92">
                  <c:v>40746</c:v>
                </c:pt>
                <c:pt idx="93">
                  <c:v>40753</c:v>
                </c:pt>
                <c:pt idx="94">
                  <c:v>40760</c:v>
                </c:pt>
                <c:pt idx="95">
                  <c:v>40767</c:v>
                </c:pt>
                <c:pt idx="96">
                  <c:v>40774</c:v>
                </c:pt>
                <c:pt idx="97">
                  <c:v>40781</c:v>
                </c:pt>
                <c:pt idx="98">
                  <c:v>40788</c:v>
                </c:pt>
                <c:pt idx="99">
                  <c:v>40795</c:v>
                </c:pt>
                <c:pt idx="100">
                  <c:v>40802</c:v>
                </c:pt>
                <c:pt idx="101">
                  <c:v>40809</c:v>
                </c:pt>
                <c:pt idx="102">
                  <c:v>40816</c:v>
                </c:pt>
                <c:pt idx="103">
                  <c:v>40823</c:v>
                </c:pt>
                <c:pt idx="104">
                  <c:v>40830</c:v>
                </c:pt>
                <c:pt idx="105">
                  <c:v>40837</c:v>
                </c:pt>
                <c:pt idx="106">
                  <c:v>40844</c:v>
                </c:pt>
                <c:pt idx="107">
                  <c:v>40851</c:v>
                </c:pt>
                <c:pt idx="108">
                  <c:v>40858</c:v>
                </c:pt>
                <c:pt idx="109">
                  <c:v>40865</c:v>
                </c:pt>
                <c:pt idx="110">
                  <c:v>40872</c:v>
                </c:pt>
                <c:pt idx="111">
                  <c:v>40879</c:v>
                </c:pt>
                <c:pt idx="112">
                  <c:v>40886</c:v>
                </c:pt>
                <c:pt idx="113">
                  <c:v>40893</c:v>
                </c:pt>
                <c:pt idx="114">
                  <c:v>40921</c:v>
                </c:pt>
                <c:pt idx="115">
                  <c:v>40928</c:v>
                </c:pt>
                <c:pt idx="116">
                  <c:v>40956</c:v>
                </c:pt>
                <c:pt idx="117">
                  <c:v>40963</c:v>
                </c:pt>
                <c:pt idx="118">
                  <c:v>40970</c:v>
                </c:pt>
                <c:pt idx="119">
                  <c:v>40977</c:v>
                </c:pt>
                <c:pt idx="120">
                  <c:v>40984</c:v>
                </c:pt>
                <c:pt idx="121">
                  <c:v>40991</c:v>
                </c:pt>
                <c:pt idx="122">
                  <c:v>40998</c:v>
                </c:pt>
                <c:pt idx="123">
                  <c:v>41012</c:v>
                </c:pt>
                <c:pt idx="124">
                  <c:v>41019</c:v>
                </c:pt>
                <c:pt idx="125">
                  <c:v>41026</c:v>
                </c:pt>
                <c:pt idx="126">
                  <c:v>41033</c:v>
                </c:pt>
                <c:pt idx="127">
                  <c:v>41040</c:v>
                </c:pt>
                <c:pt idx="128">
                  <c:v>41047</c:v>
                </c:pt>
                <c:pt idx="129">
                  <c:v>41054</c:v>
                </c:pt>
                <c:pt idx="130">
                  <c:v>41061</c:v>
                </c:pt>
                <c:pt idx="131">
                  <c:v>41068</c:v>
                </c:pt>
                <c:pt idx="132">
                  <c:v>41075</c:v>
                </c:pt>
                <c:pt idx="133">
                  <c:v>41082</c:v>
                </c:pt>
                <c:pt idx="134">
                  <c:v>41089</c:v>
                </c:pt>
              </c:numCache>
            </c:numRef>
          </c:cat>
          <c:val>
            <c:numRef>
              <c:f>Prices!$E$102:$E$236</c:f>
              <c:numCache>
                <c:formatCode>#,##0</c:formatCode>
                <c:ptCount val="135"/>
                <c:pt idx="0">
                  <c:v>150</c:v>
                </c:pt>
                <c:pt idx="1">
                  <c:v>150</c:v>
                </c:pt>
                <c:pt idx="2">
                  <c:v>162</c:v>
                </c:pt>
                <c:pt idx="3">
                  <c:v>153</c:v>
                </c:pt>
                <c:pt idx="4">
                  <c:v>151</c:v>
                </c:pt>
                <c:pt idx="5">
                  <c:v>153</c:v>
                </c:pt>
                <c:pt idx="6">
                  <c:v>154</c:v>
                </c:pt>
                <c:pt idx="7">
                  <c:v>158</c:v>
                </c:pt>
                <c:pt idx="8">
                  <c:v>162</c:v>
                </c:pt>
                <c:pt idx="9">
                  <c:v>150</c:v>
                </c:pt>
                <c:pt idx="10">
                  <c:v>139</c:v>
                </c:pt>
                <c:pt idx="11">
                  <c:v>153</c:v>
                </c:pt>
                <c:pt idx="12">
                  <c:v>148</c:v>
                </c:pt>
                <c:pt idx="13">
                  <c:v>155</c:v>
                </c:pt>
                <c:pt idx="14">
                  <c:v>147</c:v>
                </c:pt>
                <c:pt idx="15">
                  <c:v>144</c:v>
                </c:pt>
                <c:pt idx="16">
                  <c:v>140</c:v>
                </c:pt>
                <c:pt idx="17">
                  <c:v>145</c:v>
                </c:pt>
                <c:pt idx="18">
                  <c:v>145</c:v>
                </c:pt>
                <c:pt idx="19">
                  <c:v>134</c:v>
                </c:pt>
                <c:pt idx="20">
                  <c:v>144</c:v>
                </c:pt>
                <c:pt idx="21">
                  <c:v>144</c:v>
                </c:pt>
                <c:pt idx="22">
                  <c:v>148</c:v>
                </c:pt>
                <c:pt idx="23">
                  <c:v>161</c:v>
                </c:pt>
                <c:pt idx="24">
                  <c:v>156</c:v>
                </c:pt>
                <c:pt idx="25">
                  <c:v>142</c:v>
                </c:pt>
                <c:pt idx="26">
                  <c:v>139</c:v>
                </c:pt>
                <c:pt idx="27">
                  <c:v>139</c:v>
                </c:pt>
                <c:pt idx="28">
                  <c:v>147</c:v>
                </c:pt>
                <c:pt idx="29">
                  <c:v>153</c:v>
                </c:pt>
                <c:pt idx="30">
                  <c:v>156</c:v>
                </c:pt>
                <c:pt idx="31">
                  <c:v>155</c:v>
                </c:pt>
                <c:pt idx="32">
                  <c:v>174</c:v>
                </c:pt>
                <c:pt idx="33">
                  <c:v>170</c:v>
                </c:pt>
                <c:pt idx="34">
                  <c:v>172</c:v>
                </c:pt>
                <c:pt idx="35">
                  <c:v>168</c:v>
                </c:pt>
                <c:pt idx="36">
                  <c:v>176</c:v>
                </c:pt>
                <c:pt idx="37">
                  <c:v>169</c:v>
                </c:pt>
                <c:pt idx="38">
                  <c:v>166</c:v>
                </c:pt>
                <c:pt idx="39">
                  <c:v>168</c:v>
                </c:pt>
                <c:pt idx="40">
                  <c:v>164</c:v>
                </c:pt>
                <c:pt idx="41">
                  <c:v>166</c:v>
                </c:pt>
                <c:pt idx="42">
                  <c:v>162</c:v>
                </c:pt>
                <c:pt idx="43">
                  <c:v>158</c:v>
                </c:pt>
                <c:pt idx="44">
                  <c:v>155</c:v>
                </c:pt>
                <c:pt idx="45">
                  <c:v>159</c:v>
                </c:pt>
                <c:pt idx="46">
                  <c:v>160</c:v>
                </c:pt>
                <c:pt idx="47">
                  <c:v>162</c:v>
                </c:pt>
                <c:pt idx="48">
                  <c:v>162</c:v>
                </c:pt>
                <c:pt idx="49">
                  <c:v>154</c:v>
                </c:pt>
                <c:pt idx="50">
                  <c:v>162</c:v>
                </c:pt>
                <c:pt idx="51">
                  <c:v>169</c:v>
                </c:pt>
                <c:pt idx="52">
                  <c:v>161</c:v>
                </c:pt>
                <c:pt idx="53">
                  <c:v>170</c:v>
                </c:pt>
                <c:pt idx="54">
                  <c:v>169</c:v>
                </c:pt>
                <c:pt idx="55">
                  <c:v>165</c:v>
                </c:pt>
                <c:pt idx="56">
                  <c:v>168</c:v>
                </c:pt>
                <c:pt idx="57">
                  <c:v>165</c:v>
                </c:pt>
                <c:pt idx="58">
                  <c:v>171</c:v>
                </c:pt>
                <c:pt idx="59">
                  <c:v>185</c:v>
                </c:pt>
                <c:pt idx="60">
                  <c:v>182</c:v>
                </c:pt>
                <c:pt idx="61">
                  <c:v>166</c:v>
                </c:pt>
                <c:pt idx="62">
                  <c:v>170</c:v>
                </c:pt>
                <c:pt idx="63">
                  <c:v>174</c:v>
                </c:pt>
                <c:pt idx="64">
                  <c:v>168</c:v>
                </c:pt>
                <c:pt idx="65">
                  <c:v>176</c:v>
                </c:pt>
                <c:pt idx="66">
                  <c:v>170</c:v>
                </c:pt>
                <c:pt idx="67">
                  <c:v>178</c:v>
                </c:pt>
                <c:pt idx="68">
                  <c:v>181</c:v>
                </c:pt>
                <c:pt idx="69">
                  <c:v>175</c:v>
                </c:pt>
                <c:pt idx="70">
                  <c:v>186</c:v>
                </c:pt>
                <c:pt idx="71">
                  <c:v>183</c:v>
                </c:pt>
                <c:pt idx="72">
                  <c:v>185</c:v>
                </c:pt>
                <c:pt idx="73">
                  <c:v>183</c:v>
                </c:pt>
                <c:pt idx="74">
                  <c:v>184</c:v>
                </c:pt>
                <c:pt idx="75">
                  <c:v>183</c:v>
                </c:pt>
                <c:pt idx="76">
                  <c:v>185</c:v>
                </c:pt>
                <c:pt idx="77">
                  <c:v>194</c:v>
                </c:pt>
                <c:pt idx="78">
                  <c:v>185</c:v>
                </c:pt>
                <c:pt idx="79">
                  <c:v>198</c:v>
                </c:pt>
                <c:pt idx="80">
                  <c:v>200.4</c:v>
                </c:pt>
                <c:pt idx="81">
                  <c:v>197</c:v>
                </c:pt>
                <c:pt idx="82">
                  <c:v>175</c:v>
                </c:pt>
                <c:pt idx="83">
                  <c:v>176</c:v>
                </c:pt>
                <c:pt idx="84">
                  <c:v>172.1</c:v>
                </c:pt>
                <c:pt idx="85">
                  <c:v>184.8</c:v>
                </c:pt>
                <c:pt idx="86">
                  <c:v>166</c:v>
                </c:pt>
                <c:pt idx="87">
                  <c:v>169</c:v>
                </c:pt>
                <c:pt idx="88">
                  <c:v>166</c:v>
                </c:pt>
                <c:pt idx="89">
                  <c:v>166</c:v>
                </c:pt>
                <c:pt idx="90">
                  <c:v>168</c:v>
                </c:pt>
                <c:pt idx="91">
                  <c:v>173</c:v>
                </c:pt>
                <c:pt idx="92">
                  <c:v>164</c:v>
                </c:pt>
                <c:pt idx="93">
                  <c:v>170</c:v>
                </c:pt>
                <c:pt idx="94">
                  <c:v>165</c:v>
                </c:pt>
                <c:pt idx="95">
                  <c:v>162.5</c:v>
                </c:pt>
                <c:pt idx="96">
                  <c:v>172</c:v>
                </c:pt>
                <c:pt idx="97">
                  <c:v>174</c:v>
                </c:pt>
                <c:pt idx="98">
                  <c:v>185</c:v>
                </c:pt>
                <c:pt idx="99">
                  <c:v>164</c:v>
                </c:pt>
                <c:pt idx="100">
                  <c:v>177</c:v>
                </c:pt>
                <c:pt idx="101">
                  <c:v>184</c:v>
                </c:pt>
                <c:pt idx="102">
                  <c:v>183</c:v>
                </c:pt>
                <c:pt idx="103">
                  <c:v>177</c:v>
                </c:pt>
                <c:pt idx="104">
                  <c:v>175</c:v>
                </c:pt>
                <c:pt idx="105">
                  <c:v>184</c:v>
                </c:pt>
                <c:pt idx="106">
                  <c:v>181</c:v>
                </c:pt>
                <c:pt idx="107">
                  <c:v>175</c:v>
                </c:pt>
                <c:pt idx="108">
                  <c:v>162</c:v>
                </c:pt>
                <c:pt idx="109">
                  <c:v>188</c:v>
                </c:pt>
                <c:pt idx="110">
                  <c:v>177</c:v>
                </c:pt>
                <c:pt idx="111">
                  <c:v>173</c:v>
                </c:pt>
                <c:pt idx="112">
                  <c:v>189</c:v>
                </c:pt>
                <c:pt idx="113">
                  <c:v>200</c:v>
                </c:pt>
                <c:pt idx="114">
                  <c:v>192</c:v>
                </c:pt>
                <c:pt idx="115">
                  <c:v>169</c:v>
                </c:pt>
                <c:pt idx="116">
                  <c:v>185</c:v>
                </c:pt>
                <c:pt idx="117">
                  <c:v>186</c:v>
                </c:pt>
                <c:pt idx="118">
                  <c:v>179</c:v>
                </c:pt>
                <c:pt idx="119">
                  <c:v>172</c:v>
                </c:pt>
                <c:pt idx="120">
                  <c:v>193</c:v>
                </c:pt>
                <c:pt idx="122">
                  <c:v>181</c:v>
                </c:pt>
                <c:pt idx="123">
                  <c:v>185</c:v>
                </c:pt>
                <c:pt idx="124">
                  <c:v>172</c:v>
                </c:pt>
                <c:pt idx="125">
                  <c:v>173</c:v>
                </c:pt>
                <c:pt idx="126">
                  <c:v>176</c:v>
                </c:pt>
                <c:pt idx="127">
                  <c:v>175</c:v>
                </c:pt>
                <c:pt idx="128">
                  <c:v>181</c:v>
                </c:pt>
                <c:pt idx="129">
                  <c:v>174</c:v>
                </c:pt>
                <c:pt idx="130">
                  <c:v>180</c:v>
                </c:pt>
                <c:pt idx="131">
                  <c:v>178</c:v>
                </c:pt>
                <c:pt idx="133">
                  <c:v>167</c:v>
                </c:pt>
                <c:pt idx="134">
                  <c:v>158</c:v>
                </c:pt>
              </c:numCache>
            </c:numRef>
          </c:val>
          <c:smooth val="0"/>
          <c:extLst>
            <c:ext xmlns:c16="http://schemas.microsoft.com/office/drawing/2014/chart" uri="{C3380CC4-5D6E-409C-BE32-E72D297353CC}">
              <c16:uniqueId val="{00000002-E1C0-424B-9A7C-03320C97EF0A}"/>
            </c:ext>
          </c:extLst>
        </c:ser>
        <c:ser>
          <c:idx val="2"/>
          <c:order val="2"/>
          <c:tx>
            <c:strRef>
              <c:f>Prices!$F$101</c:f>
              <c:strCache>
                <c:ptCount val="1"/>
                <c:pt idx="0">
                  <c:v>&gt;500 stores Gracemere c/kg live</c:v>
                </c:pt>
              </c:strCache>
            </c:strRef>
          </c:tx>
          <c:spPr>
            <a:ln w="12700">
              <a:solidFill>
                <a:srgbClr val="FFFF00"/>
              </a:solidFill>
              <a:prstDash val="solid"/>
            </a:ln>
          </c:spPr>
          <c:marker>
            <c:symbol val="triangle"/>
            <c:size val="5"/>
            <c:spPr>
              <a:solidFill>
                <a:srgbClr val="FFFF00"/>
              </a:solidFill>
              <a:ln>
                <a:solidFill>
                  <a:srgbClr val="FFFF00"/>
                </a:solidFill>
                <a:prstDash val="solid"/>
              </a:ln>
            </c:spPr>
          </c:marker>
          <c:cat>
            <c:numRef>
              <c:f>Prices!$C$102:$C$236</c:f>
              <c:numCache>
                <c:formatCode>d/mm/yy</c:formatCode>
                <c:ptCount val="135"/>
                <c:pt idx="0">
                  <c:v>39969</c:v>
                </c:pt>
                <c:pt idx="1">
                  <c:v>39976</c:v>
                </c:pt>
                <c:pt idx="2">
                  <c:v>39983</c:v>
                </c:pt>
                <c:pt idx="3">
                  <c:v>39990</c:v>
                </c:pt>
                <c:pt idx="4">
                  <c:v>39997</c:v>
                </c:pt>
                <c:pt idx="5">
                  <c:v>40004</c:v>
                </c:pt>
                <c:pt idx="6">
                  <c:v>40011</c:v>
                </c:pt>
                <c:pt idx="7">
                  <c:v>40018</c:v>
                </c:pt>
                <c:pt idx="8">
                  <c:v>40025</c:v>
                </c:pt>
                <c:pt idx="9">
                  <c:v>40032</c:v>
                </c:pt>
                <c:pt idx="10">
                  <c:v>40039</c:v>
                </c:pt>
                <c:pt idx="11">
                  <c:v>40046</c:v>
                </c:pt>
                <c:pt idx="12">
                  <c:v>40053</c:v>
                </c:pt>
                <c:pt idx="13">
                  <c:v>40060</c:v>
                </c:pt>
                <c:pt idx="14">
                  <c:v>40067</c:v>
                </c:pt>
                <c:pt idx="15">
                  <c:v>40074</c:v>
                </c:pt>
                <c:pt idx="16">
                  <c:v>40081</c:v>
                </c:pt>
                <c:pt idx="17">
                  <c:v>40088</c:v>
                </c:pt>
                <c:pt idx="18">
                  <c:v>40095</c:v>
                </c:pt>
                <c:pt idx="19">
                  <c:v>40102</c:v>
                </c:pt>
                <c:pt idx="20">
                  <c:v>40109</c:v>
                </c:pt>
                <c:pt idx="21">
                  <c:v>40116</c:v>
                </c:pt>
                <c:pt idx="22">
                  <c:v>40123</c:v>
                </c:pt>
                <c:pt idx="23">
                  <c:v>40130</c:v>
                </c:pt>
                <c:pt idx="24">
                  <c:v>40137</c:v>
                </c:pt>
                <c:pt idx="25">
                  <c:v>40144</c:v>
                </c:pt>
                <c:pt idx="26">
                  <c:v>40151</c:v>
                </c:pt>
                <c:pt idx="27">
                  <c:v>40158</c:v>
                </c:pt>
                <c:pt idx="28">
                  <c:v>40193</c:v>
                </c:pt>
                <c:pt idx="29">
                  <c:v>40200</c:v>
                </c:pt>
                <c:pt idx="30">
                  <c:v>40207</c:v>
                </c:pt>
                <c:pt idx="31">
                  <c:v>40214</c:v>
                </c:pt>
                <c:pt idx="32">
                  <c:v>40235</c:v>
                </c:pt>
                <c:pt idx="33">
                  <c:v>40242</c:v>
                </c:pt>
                <c:pt idx="34">
                  <c:v>40249</c:v>
                </c:pt>
                <c:pt idx="35">
                  <c:v>40256</c:v>
                </c:pt>
                <c:pt idx="36">
                  <c:v>40263</c:v>
                </c:pt>
                <c:pt idx="37">
                  <c:v>40270</c:v>
                </c:pt>
                <c:pt idx="38">
                  <c:v>40277</c:v>
                </c:pt>
                <c:pt idx="39">
                  <c:v>40291</c:v>
                </c:pt>
                <c:pt idx="40">
                  <c:v>40298</c:v>
                </c:pt>
                <c:pt idx="41">
                  <c:v>40305</c:v>
                </c:pt>
                <c:pt idx="42">
                  <c:v>40312</c:v>
                </c:pt>
                <c:pt idx="43">
                  <c:v>40319</c:v>
                </c:pt>
                <c:pt idx="44">
                  <c:v>40326</c:v>
                </c:pt>
                <c:pt idx="45">
                  <c:v>40333</c:v>
                </c:pt>
                <c:pt idx="46">
                  <c:v>40340</c:v>
                </c:pt>
                <c:pt idx="47">
                  <c:v>40347</c:v>
                </c:pt>
                <c:pt idx="48">
                  <c:v>40354</c:v>
                </c:pt>
                <c:pt idx="49">
                  <c:v>40361</c:v>
                </c:pt>
                <c:pt idx="50">
                  <c:v>40375</c:v>
                </c:pt>
                <c:pt idx="51">
                  <c:v>40382</c:v>
                </c:pt>
                <c:pt idx="52">
                  <c:v>40389</c:v>
                </c:pt>
                <c:pt idx="53">
                  <c:v>40396</c:v>
                </c:pt>
                <c:pt idx="54">
                  <c:v>40403</c:v>
                </c:pt>
                <c:pt idx="55">
                  <c:v>40410</c:v>
                </c:pt>
                <c:pt idx="56">
                  <c:v>40417</c:v>
                </c:pt>
                <c:pt idx="57">
                  <c:v>40424</c:v>
                </c:pt>
                <c:pt idx="58">
                  <c:v>40431</c:v>
                </c:pt>
                <c:pt idx="59">
                  <c:v>40438</c:v>
                </c:pt>
                <c:pt idx="60">
                  <c:v>40452</c:v>
                </c:pt>
                <c:pt idx="61">
                  <c:v>40459</c:v>
                </c:pt>
                <c:pt idx="62">
                  <c:v>40466</c:v>
                </c:pt>
                <c:pt idx="63">
                  <c:v>40473</c:v>
                </c:pt>
                <c:pt idx="64">
                  <c:v>40480</c:v>
                </c:pt>
                <c:pt idx="65">
                  <c:v>40487</c:v>
                </c:pt>
                <c:pt idx="66">
                  <c:v>40494</c:v>
                </c:pt>
                <c:pt idx="67">
                  <c:v>40501</c:v>
                </c:pt>
                <c:pt idx="68">
                  <c:v>40508</c:v>
                </c:pt>
                <c:pt idx="69">
                  <c:v>40515</c:v>
                </c:pt>
                <c:pt idx="70">
                  <c:v>40522</c:v>
                </c:pt>
                <c:pt idx="71">
                  <c:v>40571</c:v>
                </c:pt>
                <c:pt idx="72">
                  <c:v>40578</c:v>
                </c:pt>
                <c:pt idx="73">
                  <c:v>40585</c:v>
                </c:pt>
                <c:pt idx="74">
                  <c:v>40592</c:v>
                </c:pt>
                <c:pt idx="75">
                  <c:v>40599</c:v>
                </c:pt>
                <c:pt idx="76">
                  <c:v>40606</c:v>
                </c:pt>
                <c:pt idx="77">
                  <c:v>40613</c:v>
                </c:pt>
                <c:pt idx="78">
                  <c:v>40620</c:v>
                </c:pt>
                <c:pt idx="79">
                  <c:v>40627</c:v>
                </c:pt>
                <c:pt idx="80">
                  <c:v>40641</c:v>
                </c:pt>
                <c:pt idx="81">
                  <c:v>40662</c:v>
                </c:pt>
                <c:pt idx="82">
                  <c:v>40669</c:v>
                </c:pt>
                <c:pt idx="83">
                  <c:v>40676</c:v>
                </c:pt>
                <c:pt idx="84">
                  <c:v>40683</c:v>
                </c:pt>
                <c:pt idx="85">
                  <c:v>40697</c:v>
                </c:pt>
                <c:pt idx="86">
                  <c:v>40704</c:v>
                </c:pt>
                <c:pt idx="87">
                  <c:v>40711</c:v>
                </c:pt>
                <c:pt idx="88">
                  <c:v>40718</c:v>
                </c:pt>
                <c:pt idx="89">
                  <c:v>40725</c:v>
                </c:pt>
                <c:pt idx="90">
                  <c:v>40732</c:v>
                </c:pt>
                <c:pt idx="91">
                  <c:v>40739</c:v>
                </c:pt>
                <c:pt idx="92">
                  <c:v>40746</c:v>
                </c:pt>
                <c:pt idx="93">
                  <c:v>40753</c:v>
                </c:pt>
                <c:pt idx="94">
                  <c:v>40760</c:v>
                </c:pt>
                <c:pt idx="95">
                  <c:v>40767</c:v>
                </c:pt>
                <c:pt idx="96">
                  <c:v>40774</c:v>
                </c:pt>
                <c:pt idx="97">
                  <c:v>40781</c:v>
                </c:pt>
                <c:pt idx="98">
                  <c:v>40788</c:v>
                </c:pt>
                <c:pt idx="99">
                  <c:v>40795</c:v>
                </c:pt>
                <c:pt idx="100">
                  <c:v>40802</c:v>
                </c:pt>
                <c:pt idx="101">
                  <c:v>40809</c:v>
                </c:pt>
                <c:pt idx="102">
                  <c:v>40816</c:v>
                </c:pt>
                <c:pt idx="103">
                  <c:v>40823</c:v>
                </c:pt>
                <c:pt idx="104">
                  <c:v>40830</c:v>
                </c:pt>
                <c:pt idx="105">
                  <c:v>40837</c:v>
                </c:pt>
                <c:pt idx="106">
                  <c:v>40844</c:v>
                </c:pt>
                <c:pt idx="107">
                  <c:v>40851</c:v>
                </c:pt>
                <c:pt idx="108">
                  <c:v>40858</c:v>
                </c:pt>
                <c:pt idx="109">
                  <c:v>40865</c:v>
                </c:pt>
                <c:pt idx="110">
                  <c:v>40872</c:v>
                </c:pt>
                <c:pt idx="111">
                  <c:v>40879</c:v>
                </c:pt>
                <c:pt idx="112">
                  <c:v>40886</c:v>
                </c:pt>
                <c:pt idx="113">
                  <c:v>40893</c:v>
                </c:pt>
                <c:pt idx="114">
                  <c:v>40921</c:v>
                </c:pt>
                <c:pt idx="115">
                  <c:v>40928</c:v>
                </c:pt>
                <c:pt idx="116">
                  <c:v>40956</c:v>
                </c:pt>
                <c:pt idx="117">
                  <c:v>40963</c:v>
                </c:pt>
                <c:pt idx="118">
                  <c:v>40970</c:v>
                </c:pt>
                <c:pt idx="119">
                  <c:v>40977</c:v>
                </c:pt>
                <c:pt idx="120">
                  <c:v>40984</c:v>
                </c:pt>
                <c:pt idx="121">
                  <c:v>40991</c:v>
                </c:pt>
                <c:pt idx="122">
                  <c:v>40998</c:v>
                </c:pt>
                <c:pt idx="123">
                  <c:v>41012</c:v>
                </c:pt>
                <c:pt idx="124">
                  <c:v>41019</c:v>
                </c:pt>
                <c:pt idx="125">
                  <c:v>41026</c:v>
                </c:pt>
                <c:pt idx="126">
                  <c:v>41033</c:v>
                </c:pt>
                <c:pt idx="127">
                  <c:v>41040</c:v>
                </c:pt>
                <c:pt idx="128">
                  <c:v>41047</c:v>
                </c:pt>
                <c:pt idx="129">
                  <c:v>41054</c:v>
                </c:pt>
                <c:pt idx="130">
                  <c:v>41061</c:v>
                </c:pt>
                <c:pt idx="131">
                  <c:v>41068</c:v>
                </c:pt>
                <c:pt idx="132">
                  <c:v>41075</c:v>
                </c:pt>
                <c:pt idx="133">
                  <c:v>41082</c:v>
                </c:pt>
                <c:pt idx="134">
                  <c:v>41089</c:v>
                </c:pt>
              </c:numCache>
            </c:numRef>
          </c:cat>
          <c:val>
            <c:numRef>
              <c:f>Prices!$F$102:$F$236</c:f>
              <c:numCache>
                <c:formatCode>General</c:formatCode>
                <c:ptCount val="135"/>
                <c:pt idx="0">
                  <c:v>152</c:v>
                </c:pt>
                <c:pt idx="1">
                  <c:v>148</c:v>
                </c:pt>
                <c:pt idx="2">
                  <c:v>154</c:v>
                </c:pt>
                <c:pt idx="3">
                  <c:v>154</c:v>
                </c:pt>
                <c:pt idx="4">
                  <c:v>152</c:v>
                </c:pt>
                <c:pt idx="5">
                  <c:v>163</c:v>
                </c:pt>
                <c:pt idx="6">
                  <c:v>156</c:v>
                </c:pt>
                <c:pt idx="7">
                  <c:v>158</c:v>
                </c:pt>
                <c:pt idx="8">
                  <c:v>148</c:v>
                </c:pt>
                <c:pt idx="9">
                  <c:v>153</c:v>
                </c:pt>
                <c:pt idx="10">
                  <c:v>148</c:v>
                </c:pt>
                <c:pt idx="11">
                  <c:v>152</c:v>
                </c:pt>
                <c:pt idx="12">
                  <c:v>155</c:v>
                </c:pt>
                <c:pt idx="13">
                  <c:v>151</c:v>
                </c:pt>
                <c:pt idx="15">
                  <c:v>150</c:v>
                </c:pt>
                <c:pt idx="16">
                  <c:v>145</c:v>
                </c:pt>
                <c:pt idx="17">
                  <c:v>150</c:v>
                </c:pt>
                <c:pt idx="18">
                  <c:v>151</c:v>
                </c:pt>
                <c:pt idx="19">
                  <c:v>153</c:v>
                </c:pt>
                <c:pt idx="20">
                  <c:v>157</c:v>
                </c:pt>
                <c:pt idx="21">
                  <c:v>147</c:v>
                </c:pt>
                <c:pt idx="22">
                  <c:v>158</c:v>
                </c:pt>
                <c:pt idx="24">
                  <c:v>165</c:v>
                </c:pt>
                <c:pt idx="25">
                  <c:v>150</c:v>
                </c:pt>
                <c:pt idx="26">
                  <c:v>155</c:v>
                </c:pt>
                <c:pt idx="27">
                  <c:v>131</c:v>
                </c:pt>
                <c:pt idx="31">
                  <c:v>172</c:v>
                </c:pt>
                <c:pt idx="32">
                  <c:v>171</c:v>
                </c:pt>
                <c:pt idx="33">
                  <c:v>175</c:v>
                </c:pt>
                <c:pt idx="34">
                  <c:v>171</c:v>
                </c:pt>
                <c:pt idx="35">
                  <c:v>165</c:v>
                </c:pt>
                <c:pt idx="36">
                  <c:v>154</c:v>
                </c:pt>
                <c:pt idx="37">
                  <c:v>154</c:v>
                </c:pt>
                <c:pt idx="38">
                  <c:v>156</c:v>
                </c:pt>
                <c:pt idx="39">
                  <c:v>152</c:v>
                </c:pt>
                <c:pt idx="40">
                  <c:v>158</c:v>
                </c:pt>
                <c:pt idx="41">
                  <c:v>164</c:v>
                </c:pt>
                <c:pt idx="42">
                  <c:v>160</c:v>
                </c:pt>
                <c:pt idx="43">
                  <c:v>161</c:v>
                </c:pt>
                <c:pt idx="44">
                  <c:v>155</c:v>
                </c:pt>
                <c:pt idx="45">
                  <c:v>159</c:v>
                </c:pt>
                <c:pt idx="46">
                  <c:v>159</c:v>
                </c:pt>
                <c:pt idx="47">
                  <c:v>162</c:v>
                </c:pt>
                <c:pt idx="48">
                  <c:v>157</c:v>
                </c:pt>
                <c:pt idx="49">
                  <c:v>165</c:v>
                </c:pt>
                <c:pt idx="50">
                  <c:v>166</c:v>
                </c:pt>
                <c:pt idx="51">
                  <c:v>160</c:v>
                </c:pt>
                <c:pt idx="52">
                  <c:v>164</c:v>
                </c:pt>
                <c:pt idx="53">
                  <c:v>154</c:v>
                </c:pt>
                <c:pt idx="54">
                  <c:v>172</c:v>
                </c:pt>
                <c:pt idx="55">
                  <c:v>163</c:v>
                </c:pt>
                <c:pt idx="56">
                  <c:v>163</c:v>
                </c:pt>
                <c:pt idx="57">
                  <c:v>156</c:v>
                </c:pt>
                <c:pt idx="58">
                  <c:v>173</c:v>
                </c:pt>
                <c:pt idx="60">
                  <c:v>170</c:v>
                </c:pt>
                <c:pt idx="61">
                  <c:v>164</c:v>
                </c:pt>
                <c:pt idx="62">
                  <c:v>169</c:v>
                </c:pt>
                <c:pt idx="63">
                  <c:v>169</c:v>
                </c:pt>
                <c:pt idx="64">
                  <c:v>169</c:v>
                </c:pt>
                <c:pt idx="65">
                  <c:v>170</c:v>
                </c:pt>
                <c:pt idx="66">
                  <c:v>168</c:v>
                </c:pt>
                <c:pt idx="67">
                  <c:v>173</c:v>
                </c:pt>
                <c:pt idx="68">
                  <c:v>172</c:v>
                </c:pt>
                <c:pt idx="69">
                  <c:v>168</c:v>
                </c:pt>
                <c:pt idx="70">
                  <c:v>181</c:v>
                </c:pt>
                <c:pt idx="71">
                  <c:v>176</c:v>
                </c:pt>
                <c:pt idx="72">
                  <c:v>166</c:v>
                </c:pt>
                <c:pt idx="73">
                  <c:v>169</c:v>
                </c:pt>
                <c:pt idx="74">
                  <c:v>172</c:v>
                </c:pt>
                <c:pt idx="75">
                  <c:v>170</c:v>
                </c:pt>
                <c:pt idx="76">
                  <c:v>174</c:v>
                </c:pt>
                <c:pt idx="77">
                  <c:v>189</c:v>
                </c:pt>
                <c:pt idx="78">
                  <c:v>190</c:v>
                </c:pt>
                <c:pt idx="79">
                  <c:v>190</c:v>
                </c:pt>
                <c:pt idx="80">
                  <c:v>185.7</c:v>
                </c:pt>
                <c:pt idx="81">
                  <c:v>169</c:v>
                </c:pt>
                <c:pt idx="82">
                  <c:v>156</c:v>
                </c:pt>
                <c:pt idx="83">
                  <c:v>171</c:v>
                </c:pt>
                <c:pt idx="84">
                  <c:v>156.19999999999999</c:v>
                </c:pt>
                <c:pt idx="85">
                  <c:v>168</c:v>
                </c:pt>
                <c:pt idx="86">
                  <c:v>157</c:v>
                </c:pt>
                <c:pt idx="87">
                  <c:v>153</c:v>
                </c:pt>
                <c:pt idx="88">
                  <c:v>157</c:v>
                </c:pt>
                <c:pt idx="89">
                  <c:v>151</c:v>
                </c:pt>
                <c:pt idx="90">
                  <c:v>154</c:v>
                </c:pt>
                <c:pt idx="91">
                  <c:v>162</c:v>
                </c:pt>
                <c:pt idx="92">
                  <c:v>162</c:v>
                </c:pt>
                <c:pt idx="93">
                  <c:v>151</c:v>
                </c:pt>
                <c:pt idx="94">
                  <c:v>156</c:v>
                </c:pt>
                <c:pt idx="95">
                  <c:v>163</c:v>
                </c:pt>
                <c:pt idx="96">
                  <c:v>168</c:v>
                </c:pt>
                <c:pt idx="97">
                  <c:v>163</c:v>
                </c:pt>
                <c:pt idx="98">
                  <c:v>159</c:v>
                </c:pt>
                <c:pt idx="99">
                  <c:v>168</c:v>
                </c:pt>
                <c:pt idx="100">
                  <c:v>159</c:v>
                </c:pt>
                <c:pt idx="101">
                  <c:v>172</c:v>
                </c:pt>
                <c:pt idx="102">
                  <c:v>184</c:v>
                </c:pt>
                <c:pt idx="103">
                  <c:v>187</c:v>
                </c:pt>
                <c:pt idx="104">
                  <c:v>174</c:v>
                </c:pt>
                <c:pt idx="105">
                  <c:v>189</c:v>
                </c:pt>
                <c:pt idx="106">
                  <c:v>182</c:v>
                </c:pt>
                <c:pt idx="107">
                  <c:v>177</c:v>
                </c:pt>
                <c:pt idx="108">
                  <c:v>174</c:v>
                </c:pt>
                <c:pt idx="109">
                  <c:v>188</c:v>
                </c:pt>
                <c:pt idx="110">
                  <c:v>189</c:v>
                </c:pt>
                <c:pt idx="111">
                  <c:v>187</c:v>
                </c:pt>
                <c:pt idx="112">
                  <c:v>184</c:v>
                </c:pt>
                <c:pt idx="113">
                  <c:v>187</c:v>
                </c:pt>
                <c:pt idx="114">
                  <c:v>186</c:v>
                </c:pt>
                <c:pt idx="115">
                  <c:v>178</c:v>
                </c:pt>
                <c:pt idx="116">
                  <c:v>168</c:v>
                </c:pt>
                <c:pt idx="117">
                  <c:v>171</c:v>
                </c:pt>
                <c:pt idx="118">
                  <c:v>176</c:v>
                </c:pt>
                <c:pt idx="119">
                  <c:v>175</c:v>
                </c:pt>
                <c:pt idx="120">
                  <c:v>175</c:v>
                </c:pt>
                <c:pt idx="122">
                  <c:v>163</c:v>
                </c:pt>
                <c:pt idx="123">
                  <c:v>160</c:v>
                </c:pt>
                <c:pt idx="124">
                  <c:v>156</c:v>
                </c:pt>
                <c:pt idx="125">
                  <c:v>158</c:v>
                </c:pt>
                <c:pt idx="126">
                  <c:v>163</c:v>
                </c:pt>
                <c:pt idx="127">
                  <c:v>165</c:v>
                </c:pt>
                <c:pt idx="128">
                  <c:v>166</c:v>
                </c:pt>
                <c:pt idx="129">
                  <c:v>167</c:v>
                </c:pt>
                <c:pt idx="130">
                  <c:v>158</c:v>
                </c:pt>
                <c:pt idx="131">
                  <c:v>164</c:v>
                </c:pt>
                <c:pt idx="133">
                  <c:v>156</c:v>
                </c:pt>
                <c:pt idx="134">
                  <c:v>165</c:v>
                </c:pt>
              </c:numCache>
            </c:numRef>
          </c:val>
          <c:smooth val="0"/>
          <c:extLst>
            <c:ext xmlns:c16="http://schemas.microsoft.com/office/drawing/2014/chart" uri="{C3380CC4-5D6E-409C-BE32-E72D297353CC}">
              <c16:uniqueId val="{00000003-E1C0-424B-9A7C-03320C97EF0A}"/>
            </c:ext>
          </c:extLst>
        </c:ser>
        <c:ser>
          <c:idx val="3"/>
          <c:order val="3"/>
          <c:tx>
            <c:strRef>
              <c:f>Prices!$G$101</c:f>
              <c:strCache>
                <c:ptCount val="1"/>
                <c:pt idx="0">
                  <c:v>Grass Fed Jap Ox Dinmore c/kg live equivalent</c:v>
                </c:pt>
              </c:strCache>
            </c:strRef>
          </c:tx>
          <c:spPr>
            <a:ln w="12700">
              <a:solidFill>
                <a:srgbClr val="00FFFF"/>
              </a:solidFill>
              <a:prstDash val="solid"/>
            </a:ln>
          </c:spPr>
          <c:marker>
            <c:symbol val="x"/>
            <c:size val="5"/>
            <c:spPr>
              <a:noFill/>
              <a:ln>
                <a:solidFill>
                  <a:srgbClr val="00FFFF"/>
                </a:solidFill>
                <a:prstDash val="solid"/>
              </a:ln>
            </c:spPr>
          </c:marker>
          <c:trendline>
            <c:spPr>
              <a:ln w="25400">
                <a:solidFill>
                  <a:srgbClr val="000000"/>
                </a:solidFill>
                <a:prstDash val="solid"/>
              </a:ln>
            </c:spPr>
            <c:trendlineType val="linear"/>
            <c:dispRSqr val="0"/>
            <c:dispEq val="1"/>
            <c:trendlineLbl>
              <c:numFmt formatCode="General" sourceLinked="0"/>
              <c:spPr>
                <a:noFill/>
                <a:ln w="25400">
                  <a:noFill/>
                </a:ln>
              </c:spPr>
              <c:txPr>
                <a:bodyPr/>
                <a:lstStyle/>
                <a:p>
                  <a:pPr>
                    <a:defRPr sz="850" b="0" i="0" u="none" strike="noStrike" baseline="0">
                      <a:solidFill>
                        <a:srgbClr val="000000"/>
                      </a:solidFill>
                      <a:latin typeface="Arial"/>
                      <a:ea typeface="Arial"/>
                      <a:cs typeface="Arial"/>
                    </a:defRPr>
                  </a:pPr>
                  <a:endParaRPr lang="en-US"/>
                </a:p>
              </c:txPr>
            </c:trendlineLbl>
          </c:trendline>
          <c:cat>
            <c:numRef>
              <c:f>Prices!$C$102:$C$236</c:f>
              <c:numCache>
                <c:formatCode>d/mm/yy</c:formatCode>
                <c:ptCount val="135"/>
                <c:pt idx="0">
                  <c:v>39969</c:v>
                </c:pt>
                <c:pt idx="1">
                  <c:v>39976</c:v>
                </c:pt>
                <c:pt idx="2">
                  <c:v>39983</c:v>
                </c:pt>
                <c:pt idx="3">
                  <c:v>39990</c:v>
                </c:pt>
                <c:pt idx="4">
                  <c:v>39997</c:v>
                </c:pt>
                <c:pt idx="5">
                  <c:v>40004</c:v>
                </c:pt>
                <c:pt idx="6">
                  <c:v>40011</c:v>
                </c:pt>
                <c:pt idx="7">
                  <c:v>40018</c:v>
                </c:pt>
                <c:pt idx="8">
                  <c:v>40025</c:v>
                </c:pt>
                <c:pt idx="9">
                  <c:v>40032</c:v>
                </c:pt>
                <c:pt idx="10">
                  <c:v>40039</c:v>
                </c:pt>
                <c:pt idx="11">
                  <c:v>40046</c:v>
                </c:pt>
                <c:pt idx="12">
                  <c:v>40053</c:v>
                </c:pt>
                <c:pt idx="13">
                  <c:v>40060</c:v>
                </c:pt>
                <c:pt idx="14">
                  <c:v>40067</c:v>
                </c:pt>
                <c:pt idx="15">
                  <c:v>40074</c:v>
                </c:pt>
                <c:pt idx="16">
                  <c:v>40081</c:v>
                </c:pt>
                <c:pt idx="17">
                  <c:v>40088</c:v>
                </c:pt>
                <c:pt idx="18">
                  <c:v>40095</c:v>
                </c:pt>
                <c:pt idx="19">
                  <c:v>40102</c:v>
                </c:pt>
                <c:pt idx="20">
                  <c:v>40109</c:v>
                </c:pt>
                <c:pt idx="21">
                  <c:v>40116</c:v>
                </c:pt>
                <c:pt idx="22">
                  <c:v>40123</c:v>
                </c:pt>
                <c:pt idx="23">
                  <c:v>40130</c:v>
                </c:pt>
                <c:pt idx="24">
                  <c:v>40137</c:v>
                </c:pt>
                <c:pt idx="25">
                  <c:v>40144</c:v>
                </c:pt>
                <c:pt idx="26">
                  <c:v>40151</c:v>
                </c:pt>
                <c:pt idx="27">
                  <c:v>40158</c:v>
                </c:pt>
                <c:pt idx="28">
                  <c:v>40193</c:v>
                </c:pt>
                <c:pt idx="29">
                  <c:v>40200</c:v>
                </c:pt>
                <c:pt idx="30">
                  <c:v>40207</c:v>
                </c:pt>
                <c:pt idx="31">
                  <c:v>40214</c:v>
                </c:pt>
                <c:pt idx="32">
                  <c:v>40235</c:v>
                </c:pt>
                <c:pt idx="33">
                  <c:v>40242</c:v>
                </c:pt>
                <c:pt idx="34">
                  <c:v>40249</c:v>
                </c:pt>
                <c:pt idx="35">
                  <c:v>40256</c:v>
                </c:pt>
                <c:pt idx="36">
                  <c:v>40263</c:v>
                </c:pt>
                <c:pt idx="37">
                  <c:v>40270</c:v>
                </c:pt>
                <c:pt idx="38">
                  <c:v>40277</c:v>
                </c:pt>
                <c:pt idx="39">
                  <c:v>40291</c:v>
                </c:pt>
                <c:pt idx="40">
                  <c:v>40298</c:v>
                </c:pt>
                <c:pt idx="41">
                  <c:v>40305</c:v>
                </c:pt>
                <c:pt idx="42">
                  <c:v>40312</c:v>
                </c:pt>
                <c:pt idx="43">
                  <c:v>40319</c:v>
                </c:pt>
                <c:pt idx="44">
                  <c:v>40326</c:v>
                </c:pt>
                <c:pt idx="45">
                  <c:v>40333</c:v>
                </c:pt>
                <c:pt idx="46">
                  <c:v>40340</c:v>
                </c:pt>
                <c:pt idx="47">
                  <c:v>40347</c:v>
                </c:pt>
                <c:pt idx="48">
                  <c:v>40354</c:v>
                </c:pt>
                <c:pt idx="49">
                  <c:v>40361</c:v>
                </c:pt>
                <c:pt idx="50">
                  <c:v>40375</c:v>
                </c:pt>
                <c:pt idx="51">
                  <c:v>40382</c:v>
                </c:pt>
                <c:pt idx="52">
                  <c:v>40389</c:v>
                </c:pt>
                <c:pt idx="53">
                  <c:v>40396</c:v>
                </c:pt>
                <c:pt idx="54">
                  <c:v>40403</c:v>
                </c:pt>
                <c:pt idx="55">
                  <c:v>40410</c:v>
                </c:pt>
                <c:pt idx="56">
                  <c:v>40417</c:v>
                </c:pt>
                <c:pt idx="57">
                  <c:v>40424</c:v>
                </c:pt>
                <c:pt idx="58">
                  <c:v>40431</c:v>
                </c:pt>
                <c:pt idx="59">
                  <c:v>40438</c:v>
                </c:pt>
                <c:pt idx="60">
                  <c:v>40452</c:v>
                </c:pt>
                <c:pt idx="61">
                  <c:v>40459</c:v>
                </c:pt>
                <c:pt idx="62">
                  <c:v>40466</c:v>
                </c:pt>
                <c:pt idx="63">
                  <c:v>40473</c:v>
                </c:pt>
                <c:pt idx="64">
                  <c:v>40480</c:v>
                </c:pt>
                <c:pt idx="65">
                  <c:v>40487</c:v>
                </c:pt>
                <c:pt idx="66">
                  <c:v>40494</c:v>
                </c:pt>
                <c:pt idx="67">
                  <c:v>40501</c:v>
                </c:pt>
                <c:pt idx="68">
                  <c:v>40508</c:v>
                </c:pt>
                <c:pt idx="69">
                  <c:v>40515</c:v>
                </c:pt>
                <c:pt idx="70">
                  <c:v>40522</c:v>
                </c:pt>
                <c:pt idx="71">
                  <c:v>40571</c:v>
                </c:pt>
                <c:pt idx="72">
                  <c:v>40578</c:v>
                </c:pt>
                <c:pt idx="73">
                  <c:v>40585</c:v>
                </c:pt>
                <c:pt idx="74">
                  <c:v>40592</c:v>
                </c:pt>
                <c:pt idx="75">
                  <c:v>40599</c:v>
                </c:pt>
                <c:pt idx="76">
                  <c:v>40606</c:v>
                </c:pt>
                <c:pt idx="77">
                  <c:v>40613</c:v>
                </c:pt>
                <c:pt idx="78">
                  <c:v>40620</c:v>
                </c:pt>
                <c:pt idx="79">
                  <c:v>40627</c:v>
                </c:pt>
                <c:pt idx="80">
                  <c:v>40641</c:v>
                </c:pt>
                <c:pt idx="81">
                  <c:v>40662</c:v>
                </c:pt>
                <c:pt idx="82">
                  <c:v>40669</c:v>
                </c:pt>
                <c:pt idx="83">
                  <c:v>40676</c:v>
                </c:pt>
                <c:pt idx="84">
                  <c:v>40683</c:v>
                </c:pt>
                <c:pt idx="85">
                  <c:v>40697</c:v>
                </c:pt>
                <c:pt idx="86">
                  <c:v>40704</c:v>
                </c:pt>
                <c:pt idx="87">
                  <c:v>40711</c:v>
                </c:pt>
                <c:pt idx="88">
                  <c:v>40718</c:v>
                </c:pt>
                <c:pt idx="89">
                  <c:v>40725</c:v>
                </c:pt>
                <c:pt idx="90">
                  <c:v>40732</c:v>
                </c:pt>
                <c:pt idx="91">
                  <c:v>40739</c:v>
                </c:pt>
                <c:pt idx="92">
                  <c:v>40746</c:v>
                </c:pt>
                <c:pt idx="93">
                  <c:v>40753</c:v>
                </c:pt>
                <c:pt idx="94">
                  <c:v>40760</c:v>
                </c:pt>
                <c:pt idx="95">
                  <c:v>40767</c:v>
                </c:pt>
                <c:pt idx="96">
                  <c:v>40774</c:v>
                </c:pt>
                <c:pt idx="97">
                  <c:v>40781</c:v>
                </c:pt>
                <c:pt idx="98">
                  <c:v>40788</c:v>
                </c:pt>
                <c:pt idx="99">
                  <c:v>40795</c:v>
                </c:pt>
                <c:pt idx="100">
                  <c:v>40802</c:v>
                </c:pt>
                <c:pt idx="101">
                  <c:v>40809</c:v>
                </c:pt>
                <c:pt idx="102">
                  <c:v>40816</c:v>
                </c:pt>
                <c:pt idx="103">
                  <c:v>40823</c:v>
                </c:pt>
                <c:pt idx="104">
                  <c:v>40830</c:v>
                </c:pt>
                <c:pt idx="105">
                  <c:v>40837</c:v>
                </c:pt>
                <c:pt idx="106">
                  <c:v>40844</c:v>
                </c:pt>
                <c:pt idx="107">
                  <c:v>40851</c:v>
                </c:pt>
                <c:pt idx="108">
                  <c:v>40858</c:v>
                </c:pt>
                <c:pt idx="109">
                  <c:v>40865</c:v>
                </c:pt>
                <c:pt idx="110">
                  <c:v>40872</c:v>
                </c:pt>
                <c:pt idx="111">
                  <c:v>40879</c:v>
                </c:pt>
                <c:pt idx="112">
                  <c:v>40886</c:v>
                </c:pt>
                <c:pt idx="113">
                  <c:v>40893</c:v>
                </c:pt>
                <c:pt idx="114">
                  <c:v>40921</c:v>
                </c:pt>
                <c:pt idx="115">
                  <c:v>40928</c:v>
                </c:pt>
                <c:pt idx="116">
                  <c:v>40956</c:v>
                </c:pt>
                <c:pt idx="117">
                  <c:v>40963</c:v>
                </c:pt>
                <c:pt idx="118">
                  <c:v>40970</c:v>
                </c:pt>
                <c:pt idx="119">
                  <c:v>40977</c:v>
                </c:pt>
                <c:pt idx="120">
                  <c:v>40984</c:v>
                </c:pt>
                <c:pt idx="121">
                  <c:v>40991</c:v>
                </c:pt>
                <c:pt idx="122">
                  <c:v>40998</c:v>
                </c:pt>
                <c:pt idx="123">
                  <c:v>41012</c:v>
                </c:pt>
                <c:pt idx="124">
                  <c:v>41019</c:v>
                </c:pt>
                <c:pt idx="125">
                  <c:v>41026</c:v>
                </c:pt>
                <c:pt idx="126">
                  <c:v>41033</c:v>
                </c:pt>
                <c:pt idx="127">
                  <c:v>41040</c:v>
                </c:pt>
                <c:pt idx="128">
                  <c:v>41047</c:v>
                </c:pt>
                <c:pt idx="129">
                  <c:v>41054</c:v>
                </c:pt>
                <c:pt idx="130">
                  <c:v>41061</c:v>
                </c:pt>
                <c:pt idx="131">
                  <c:v>41068</c:v>
                </c:pt>
                <c:pt idx="132">
                  <c:v>41075</c:v>
                </c:pt>
                <c:pt idx="133">
                  <c:v>41082</c:v>
                </c:pt>
                <c:pt idx="134">
                  <c:v>41089</c:v>
                </c:pt>
              </c:numCache>
            </c:numRef>
          </c:cat>
          <c:val>
            <c:numRef>
              <c:f>Prices!$G$102:$G$236</c:f>
              <c:numCache>
                <c:formatCode>General</c:formatCode>
                <c:ptCount val="135"/>
                <c:pt idx="19">
                  <c:v>148.20000000000002</c:v>
                </c:pt>
                <c:pt idx="28">
                  <c:v>150.80000000000001</c:v>
                </c:pt>
                <c:pt idx="29">
                  <c:v>157.04</c:v>
                </c:pt>
                <c:pt idx="30">
                  <c:v>157.04</c:v>
                </c:pt>
                <c:pt idx="31">
                  <c:v>159.64000000000001</c:v>
                </c:pt>
                <c:pt idx="35">
                  <c:v>169</c:v>
                </c:pt>
                <c:pt idx="36">
                  <c:v>163.80000000000001</c:v>
                </c:pt>
                <c:pt idx="37">
                  <c:v>161.20000000000002</c:v>
                </c:pt>
                <c:pt idx="38">
                  <c:v>166.4</c:v>
                </c:pt>
                <c:pt idx="39">
                  <c:v>166.4</c:v>
                </c:pt>
                <c:pt idx="40">
                  <c:v>163.80000000000001</c:v>
                </c:pt>
                <c:pt idx="41">
                  <c:v>161.20000000000002</c:v>
                </c:pt>
                <c:pt idx="42">
                  <c:v>163.80000000000001</c:v>
                </c:pt>
                <c:pt idx="43">
                  <c:v>163.80000000000001</c:v>
                </c:pt>
                <c:pt idx="44">
                  <c:v>163.80000000000001</c:v>
                </c:pt>
                <c:pt idx="45">
                  <c:v>169</c:v>
                </c:pt>
                <c:pt idx="46">
                  <c:v>166.4</c:v>
                </c:pt>
                <c:pt idx="47">
                  <c:v>163.80000000000001</c:v>
                </c:pt>
                <c:pt idx="49">
                  <c:v>163.80000000000001</c:v>
                </c:pt>
                <c:pt idx="54">
                  <c:v>166.4</c:v>
                </c:pt>
                <c:pt idx="57">
                  <c:v>169</c:v>
                </c:pt>
                <c:pt idx="58">
                  <c:v>169</c:v>
                </c:pt>
                <c:pt idx="59">
                  <c:v>169</c:v>
                </c:pt>
                <c:pt idx="61">
                  <c:v>169</c:v>
                </c:pt>
                <c:pt idx="63">
                  <c:v>166.4</c:v>
                </c:pt>
                <c:pt idx="65">
                  <c:v>163.80000000000001</c:v>
                </c:pt>
                <c:pt idx="69">
                  <c:v>169</c:v>
                </c:pt>
                <c:pt idx="70">
                  <c:v>169</c:v>
                </c:pt>
                <c:pt idx="71">
                  <c:v>169</c:v>
                </c:pt>
                <c:pt idx="72">
                  <c:v>174.20000000000002</c:v>
                </c:pt>
                <c:pt idx="73">
                  <c:v>179.4</c:v>
                </c:pt>
                <c:pt idx="74">
                  <c:v>179.4</c:v>
                </c:pt>
                <c:pt idx="75">
                  <c:v>174.20000000000002</c:v>
                </c:pt>
                <c:pt idx="76">
                  <c:v>174.20000000000002</c:v>
                </c:pt>
                <c:pt idx="79">
                  <c:v>182</c:v>
                </c:pt>
                <c:pt idx="80">
                  <c:v>182</c:v>
                </c:pt>
                <c:pt idx="81">
                  <c:v>169</c:v>
                </c:pt>
                <c:pt idx="82">
                  <c:v>163.80000000000001</c:v>
                </c:pt>
                <c:pt idx="83">
                  <c:v>161.20000000000002</c:v>
                </c:pt>
                <c:pt idx="84">
                  <c:v>162.24</c:v>
                </c:pt>
                <c:pt idx="85">
                  <c:v>169</c:v>
                </c:pt>
                <c:pt idx="86">
                  <c:v>163.80000000000001</c:v>
                </c:pt>
                <c:pt idx="87">
                  <c:v>156</c:v>
                </c:pt>
                <c:pt idx="88">
                  <c:v>156</c:v>
                </c:pt>
                <c:pt idx="89">
                  <c:v>156</c:v>
                </c:pt>
                <c:pt idx="90">
                  <c:v>156</c:v>
                </c:pt>
                <c:pt idx="91">
                  <c:v>156</c:v>
                </c:pt>
                <c:pt idx="92">
                  <c:v>156</c:v>
                </c:pt>
                <c:pt idx="93">
                  <c:v>161.20000000000002</c:v>
                </c:pt>
                <c:pt idx="94">
                  <c:v>161.20000000000002</c:v>
                </c:pt>
                <c:pt idx="95">
                  <c:v>163.80000000000001</c:v>
                </c:pt>
                <c:pt idx="96">
                  <c:v>163.80000000000001</c:v>
                </c:pt>
                <c:pt idx="97">
                  <c:v>166.4</c:v>
                </c:pt>
                <c:pt idx="98">
                  <c:v>170.04</c:v>
                </c:pt>
                <c:pt idx="99">
                  <c:v>174.20000000000002</c:v>
                </c:pt>
                <c:pt idx="100">
                  <c:v>174.20000000000002</c:v>
                </c:pt>
                <c:pt idx="101">
                  <c:v>179.4</c:v>
                </c:pt>
                <c:pt idx="102">
                  <c:v>183.04000000000002</c:v>
                </c:pt>
                <c:pt idx="103">
                  <c:v>184.6</c:v>
                </c:pt>
                <c:pt idx="105">
                  <c:v>184.6</c:v>
                </c:pt>
                <c:pt idx="106">
                  <c:v>182</c:v>
                </c:pt>
                <c:pt idx="107">
                  <c:v>179.4</c:v>
                </c:pt>
                <c:pt idx="108">
                  <c:v>179.4</c:v>
                </c:pt>
                <c:pt idx="109">
                  <c:v>185.64000000000001</c:v>
                </c:pt>
                <c:pt idx="110">
                  <c:v>189.8</c:v>
                </c:pt>
                <c:pt idx="111">
                  <c:v>189.8</c:v>
                </c:pt>
                <c:pt idx="112">
                  <c:v>189.8</c:v>
                </c:pt>
                <c:pt idx="113">
                  <c:v>189.8</c:v>
                </c:pt>
                <c:pt idx="114">
                  <c:v>189.8</c:v>
                </c:pt>
                <c:pt idx="115">
                  <c:v>182</c:v>
                </c:pt>
                <c:pt idx="116">
                  <c:v>171.6</c:v>
                </c:pt>
                <c:pt idx="117">
                  <c:v>171.6</c:v>
                </c:pt>
                <c:pt idx="118">
                  <c:v>174.20000000000002</c:v>
                </c:pt>
                <c:pt idx="119">
                  <c:v>176.8</c:v>
                </c:pt>
                <c:pt idx="120">
                  <c:v>174.20000000000002</c:v>
                </c:pt>
                <c:pt idx="121">
                  <c:v>176.8</c:v>
                </c:pt>
                <c:pt idx="122">
                  <c:v>171.6</c:v>
                </c:pt>
                <c:pt idx="123">
                  <c:v>163.80000000000001</c:v>
                </c:pt>
                <c:pt idx="124">
                  <c:v>161.20000000000002</c:v>
                </c:pt>
                <c:pt idx="125">
                  <c:v>161.20000000000002</c:v>
                </c:pt>
                <c:pt idx="126">
                  <c:v>163.80000000000001</c:v>
                </c:pt>
                <c:pt idx="127">
                  <c:v>163.80000000000001</c:v>
                </c:pt>
                <c:pt idx="128">
                  <c:v>166.4</c:v>
                </c:pt>
                <c:pt idx="129">
                  <c:v>163.80000000000001</c:v>
                </c:pt>
                <c:pt idx="130">
                  <c:v>163.80000000000001</c:v>
                </c:pt>
                <c:pt idx="131">
                  <c:v>166.4</c:v>
                </c:pt>
                <c:pt idx="132">
                  <c:v>166.4</c:v>
                </c:pt>
                <c:pt idx="133">
                  <c:v>161.20000000000002</c:v>
                </c:pt>
              </c:numCache>
            </c:numRef>
          </c:val>
          <c:smooth val="0"/>
          <c:extLst>
            <c:ext xmlns:c16="http://schemas.microsoft.com/office/drawing/2014/chart" uri="{C3380CC4-5D6E-409C-BE32-E72D297353CC}">
              <c16:uniqueId val="{00000005-E1C0-424B-9A7C-03320C97EF0A}"/>
            </c:ext>
          </c:extLst>
        </c:ser>
        <c:ser>
          <c:idx val="4"/>
          <c:order val="4"/>
          <c:tx>
            <c:strRef>
              <c:f>Prices!$H$101</c:f>
              <c:strCache>
                <c:ptCount val="1"/>
                <c:pt idx="0">
                  <c:v>Grass Fed Ox Dinmore C/kg live equivalent</c:v>
                </c:pt>
              </c:strCache>
            </c:strRef>
          </c:tx>
          <c:spPr>
            <a:ln w="12700">
              <a:solidFill>
                <a:srgbClr val="800080"/>
              </a:solidFill>
              <a:prstDash val="solid"/>
            </a:ln>
          </c:spPr>
          <c:marker>
            <c:symbol val="star"/>
            <c:size val="5"/>
            <c:spPr>
              <a:noFill/>
              <a:ln>
                <a:solidFill>
                  <a:srgbClr val="800080"/>
                </a:solidFill>
                <a:prstDash val="solid"/>
              </a:ln>
            </c:spPr>
          </c:marker>
          <c:cat>
            <c:numRef>
              <c:f>Prices!$C$102:$C$236</c:f>
              <c:numCache>
                <c:formatCode>d/mm/yy</c:formatCode>
                <c:ptCount val="135"/>
                <c:pt idx="0">
                  <c:v>39969</c:v>
                </c:pt>
                <c:pt idx="1">
                  <c:v>39976</c:v>
                </c:pt>
                <c:pt idx="2">
                  <c:v>39983</c:v>
                </c:pt>
                <c:pt idx="3">
                  <c:v>39990</c:v>
                </c:pt>
                <c:pt idx="4">
                  <c:v>39997</c:v>
                </c:pt>
                <c:pt idx="5">
                  <c:v>40004</c:v>
                </c:pt>
                <c:pt idx="6">
                  <c:v>40011</c:v>
                </c:pt>
                <c:pt idx="7">
                  <c:v>40018</c:v>
                </c:pt>
                <c:pt idx="8">
                  <c:v>40025</c:v>
                </c:pt>
                <c:pt idx="9">
                  <c:v>40032</c:v>
                </c:pt>
                <c:pt idx="10">
                  <c:v>40039</c:v>
                </c:pt>
                <c:pt idx="11">
                  <c:v>40046</c:v>
                </c:pt>
                <c:pt idx="12">
                  <c:v>40053</c:v>
                </c:pt>
                <c:pt idx="13">
                  <c:v>40060</c:v>
                </c:pt>
                <c:pt idx="14">
                  <c:v>40067</c:v>
                </c:pt>
                <c:pt idx="15">
                  <c:v>40074</c:v>
                </c:pt>
                <c:pt idx="16">
                  <c:v>40081</c:v>
                </c:pt>
                <c:pt idx="17">
                  <c:v>40088</c:v>
                </c:pt>
                <c:pt idx="18">
                  <c:v>40095</c:v>
                </c:pt>
                <c:pt idx="19">
                  <c:v>40102</c:v>
                </c:pt>
                <c:pt idx="20">
                  <c:v>40109</c:v>
                </c:pt>
                <c:pt idx="21">
                  <c:v>40116</c:v>
                </c:pt>
                <c:pt idx="22">
                  <c:v>40123</c:v>
                </c:pt>
                <c:pt idx="23">
                  <c:v>40130</c:v>
                </c:pt>
                <c:pt idx="24">
                  <c:v>40137</c:v>
                </c:pt>
                <c:pt idx="25">
                  <c:v>40144</c:v>
                </c:pt>
                <c:pt idx="26">
                  <c:v>40151</c:v>
                </c:pt>
                <c:pt idx="27">
                  <c:v>40158</c:v>
                </c:pt>
                <c:pt idx="28">
                  <c:v>40193</c:v>
                </c:pt>
                <c:pt idx="29">
                  <c:v>40200</c:v>
                </c:pt>
                <c:pt idx="30">
                  <c:v>40207</c:v>
                </c:pt>
                <c:pt idx="31">
                  <c:v>40214</c:v>
                </c:pt>
                <c:pt idx="32">
                  <c:v>40235</c:v>
                </c:pt>
                <c:pt idx="33">
                  <c:v>40242</c:v>
                </c:pt>
                <c:pt idx="34">
                  <c:v>40249</c:v>
                </c:pt>
                <c:pt idx="35">
                  <c:v>40256</c:v>
                </c:pt>
                <c:pt idx="36">
                  <c:v>40263</c:v>
                </c:pt>
                <c:pt idx="37">
                  <c:v>40270</c:v>
                </c:pt>
                <c:pt idx="38">
                  <c:v>40277</c:v>
                </c:pt>
                <c:pt idx="39">
                  <c:v>40291</c:v>
                </c:pt>
                <c:pt idx="40">
                  <c:v>40298</c:v>
                </c:pt>
                <c:pt idx="41">
                  <c:v>40305</c:v>
                </c:pt>
                <c:pt idx="42">
                  <c:v>40312</c:v>
                </c:pt>
                <c:pt idx="43">
                  <c:v>40319</c:v>
                </c:pt>
                <c:pt idx="44">
                  <c:v>40326</c:v>
                </c:pt>
                <c:pt idx="45">
                  <c:v>40333</c:v>
                </c:pt>
                <c:pt idx="46">
                  <c:v>40340</c:v>
                </c:pt>
                <c:pt idx="47">
                  <c:v>40347</c:v>
                </c:pt>
                <c:pt idx="48">
                  <c:v>40354</c:v>
                </c:pt>
                <c:pt idx="49">
                  <c:v>40361</c:v>
                </c:pt>
                <c:pt idx="50">
                  <c:v>40375</c:v>
                </c:pt>
                <c:pt idx="51">
                  <c:v>40382</c:v>
                </c:pt>
                <c:pt idx="52">
                  <c:v>40389</c:v>
                </c:pt>
                <c:pt idx="53">
                  <c:v>40396</c:v>
                </c:pt>
                <c:pt idx="54">
                  <c:v>40403</c:v>
                </c:pt>
                <c:pt idx="55">
                  <c:v>40410</c:v>
                </c:pt>
                <c:pt idx="56">
                  <c:v>40417</c:v>
                </c:pt>
                <c:pt idx="57">
                  <c:v>40424</c:v>
                </c:pt>
                <c:pt idx="58">
                  <c:v>40431</c:v>
                </c:pt>
                <c:pt idx="59">
                  <c:v>40438</c:v>
                </c:pt>
                <c:pt idx="60">
                  <c:v>40452</c:v>
                </c:pt>
                <c:pt idx="61">
                  <c:v>40459</c:v>
                </c:pt>
                <c:pt idx="62">
                  <c:v>40466</c:v>
                </c:pt>
                <c:pt idx="63">
                  <c:v>40473</c:v>
                </c:pt>
                <c:pt idx="64">
                  <c:v>40480</c:v>
                </c:pt>
                <c:pt idx="65">
                  <c:v>40487</c:v>
                </c:pt>
                <c:pt idx="66">
                  <c:v>40494</c:v>
                </c:pt>
                <c:pt idx="67">
                  <c:v>40501</c:v>
                </c:pt>
                <c:pt idx="68">
                  <c:v>40508</c:v>
                </c:pt>
                <c:pt idx="69">
                  <c:v>40515</c:v>
                </c:pt>
                <c:pt idx="70">
                  <c:v>40522</c:v>
                </c:pt>
                <c:pt idx="71">
                  <c:v>40571</c:v>
                </c:pt>
                <c:pt idx="72">
                  <c:v>40578</c:v>
                </c:pt>
                <c:pt idx="73">
                  <c:v>40585</c:v>
                </c:pt>
                <c:pt idx="74">
                  <c:v>40592</c:v>
                </c:pt>
                <c:pt idx="75">
                  <c:v>40599</c:v>
                </c:pt>
                <c:pt idx="76">
                  <c:v>40606</c:v>
                </c:pt>
                <c:pt idx="77">
                  <c:v>40613</c:v>
                </c:pt>
                <c:pt idx="78">
                  <c:v>40620</c:v>
                </c:pt>
                <c:pt idx="79">
                  <c:v>40627</c:v>
                </c:pt>
                <c:pt idx="80">
                  <c:v>40641</c:v>
                </c:pt>
                <c:pt idx="81">
                  <c:v>40662</c:v>
                </c:pt>
                <c:pt idx="82">
                  <c:v>40669</c:v>
                </c:pt>
                <c:pt idx="83">
                  <c:v>40676</c:v>
                </c:pt>
                <c:pt idx="84">
                  <c:v>40683</c:v>
                </c:pt>
                <c:pt idx="85">
                  <c:v>40697</c:v>
                </c:pt>
                <c:pt idx="86">
                  <c:v>40704</c:v>
                </c:pt>
                <c:pt idx="87">
                  <c:v>40711</c:v>
                </c:pt>
                <c:pt idx="88">
                  <c:v>40718</c:v>
                </c:pt>
                <c:pt idx="89">
                  <c:v>40725</c:v>
                </c:pt>
                <c:pt idx="90">
                  <c:v>40732</c:v>
                </c:pt>
                <c:pt idx="91">
                  <c:v>40739</c:v>
                </c:pt>
                <c:pt idx="92">
                  <c:v>40746</c:v>
                </c:pt>
                <c:pt idx="93">
                  <c:v>40753</c:v>
                </c:pt>
                <c:pt idx="94">
                  <c:v>40760</c:v>
                </c:pt>
                <c:pt idx="95">
                  <c:v>40767</c:v>
                </c:pt>
                <c:pt idx="96">
                  <c:v>40774</c:v>
                </c:pt>
                <c:pt idx="97">
                  <c:v>40781</c:v>
                </c:pt>
                <c:pt idx="98">
                  <c:v>40788</c:v>
                </c:pt>
                <c:pt idx="99">
                  <c:v>40795</c:v>
                </c:pt>
                <c:pt idx="100">
                  <c:v>40802</c:v>
                </c:pt>
                <c:pt idx="101">
                  <c:v>40809</c:v>
                </c:pt>
                <c:pt idx="102">
                  <c:v>40816</c:v>
                </c:pt>
                <c:pt idx="103">
                  <c:v>40823</c:v>
                </c:pt>
                <c:pt idx="104">
                  <c:v>40830</c:v>
                </c:pt>
                <c:pt idx="105">
                  <c:v>40837</c:v>
                </c:pt>
                <c:pt idx="106">
                  <c:v>40844</c:v>
                </c:pt>
                <c:pt idx="107">
                  <c:v>40851</c:v>
                </c:pt>
                <c:pt idx="108">
                  <c:v>40858</c:v>
                </c:pt>
                <c:pt idx="109">
                  <c:v>40865</c:v>
                </c:pt>
                <c:pt idx="110">
                  <c:v>40872</c:v>
                </c:pt>
                <c:pt idx="111">
                  <c:v>40879</c:v>
                </c:pt>
                <c:pt idx="112">
                  <c:v>40886</c:v>
                </c:pt>
                <c:pt idx="113">
                  <c:v>40893</c:v>
                </c:pt>
                <c:pt idx="114">
                  <c:v>40921</c:v>
                </c:pt>
                <c:pt idx="115">
                  <c:v>40928</c:v>
                </c:pt>
                <c:pt idx="116">
                  <c:v>40956</c:v>
                </c:pt>
                <c:pt idx="117">
                  <c:v>40963</c:v>
                </c:pt>
                <c:pt idx="118">
                  <c:v>40970</c:v>
                </c:pt>
                <c:pt idx="119">
                  <c:v>40977</c:v>
                </c:pt>
                <c:pt idx="120">
                  <c:v>40984</c:v>
                </c:pt>
                <c:pt idx="121">
                  <c:v>40991</c:v>
                </c:pt>
                <c:pt idx="122">
                  <c:v>40998</c:v>
                </c:pt>
                <c:pt idx="123">
                  <c:v>41012</c:v>
                </c:pt>
                <c:pt idx="124">
                  <c:v>41019</c:v>
                </c:pt>
                <c:pt idx="125">
                  <c:v>41026</c:v>
                </c:pt>
                <c:pt idx="126">
                  <c:v>41033</c:v>
                </c:pt>
                <c:pt idx="127">
                  <c:v>41040</c:v>
                </c:pt>
                <c:pt idx="128">
                  <c:v>41047</c:v>
                </c:pt>
                <c:pt idx="129">
                  <c:v>41054</c:v>
                </c:pt>
                <c:pt idx="130">
                  <c:v>41061</c:v>
                </c:pt>
                <c:pt idx="131">
                  <c:v>41068</c:v>
                </c:pt>
                <c:pt idx="132">
                  <c:v>41075</c:v>
                </c:pt>
                <c:pt idx="133">
                  <c:v>41082</c:v>
                </c:pt>
                <c:pt idx="134">
                  <c:v>41089</c:v>
                </c:pt>
              </c:numCache>
            </c:numRef>
          </c:cat>
          <c:val>
            <c:numRef>
              <c:f>Prices!$H$102:$H$236</c:f>
              <c:numCache>
                <c:formatCode>General</c:formatCode>
                <c:ptCount val="135"/>
                <c:pt idx="19">
                  <c:v>143</c:v>
                </c:pt>
                <c:pt idx="28">
                  <c:v>145.6</c:v>
                </c:pt>
                <c:pt idx="29">
                  <c:v>151.84</c:v>
                </c:pt>
                <c:pt idx="30">
                  <c:v>151.84</c:v>
                </c:pt>
                <c:pt idx="31">
                  <c:v>154.44</c:v>
                </c:pt>
                <c:pt idx="35">
                  <c:v>163.80000000000001</c:v>
                </c:pt>
                <c:pt idx="36">
                  <c:v>158.6</c:v>
                </c:pt>
                <c:pt idx="37">
                  <c:v>156</c:v>
                </c:pt>
                <c:pt idx="38">
                  <c:v>161.20000000000002</c:v>
                </c:pt>
                <c:pt idx="39">
                  <c:v>161.20000000000002</c:v>
                </c:pt>
                <c:pt idx="40">
                  <c:v>158.6</c:v>
                </c:pt>
                <c:pt idx="41">
                  <c:v>156</c:v>
                </c:pt>
                <c:pt idx="42">
                  <c:v>158.6</c:v>
                </c:pt>
                <c:pt idx="43">
                  <c:v>158.6</c:v>
                </c:pt>
                <c:pt idx="44">
                  <c:v>158.6</c:v>
                </c:pt>
                <c:pt idx="45">
                  <c:v>163.80000000000001</c:v>
                </c:pt>
                <c:pt idx="46">
                  <c:v>161.20000000000002</c:v>
                </c:pt>
                <c:pt idx="47">
                  <c:v>158.6</c:v>
                </c:pt>
                <c:pt idx="49">
                  <c:v>158.6</c:v>
                </c:pt>
                <c:pt idx="54">
                  <c:v>161.20000000000002</c:v>
                </c:pt>
                <c:pt idx="57">
                  <c:v>163.80000000000001</c:v>
                </c:pt>
                <c:pt idx="58">
                  <c:v>163.80000000000001</c:v>
                </c:pt>
                <c:pt idx="59">
                  <c:v>163.80000000000001</c:v>
                </c:pt>
                <c:pt idx="61">
                  <c:v>163.80000000000001</c:v>
                </c:pt>
                <c:pt idx="63">
                  <c:v>161.20000000000002</c:v>
                </c:pt>
                <c:pt idx="65">
                  <c:v>158.6</c:v>
                </c:pt>
                <c:pt idx="69">
                  <c:v>163.80000000000001</c:v>
                </c:pt>
                <c:pt idx="70">
                  <c:v>163.80000000000001</c:v>
                </c:pt>
                <c:pt idx="71">
                  <c:v>163.80000000000001</c:v>
                </c:pt>
                <c:pt idx="72">
                  <c:v>169</c:v>
                </c:pt>
                <c:pt idx="73">
                  <c:v>174.20000000000002</c:v>
                </c:pt>
                <c:pt idx="74">
                  <c:v>174.20000000000002</c:v>
                </c:pt>
                <c:pt idx="75">
                  <c:v>169</c:v>
                </c:pt>
                <c:pt idx="76">
                  <c:v>169</c:v>
                </c:pt>
                <c:pt idx="79">
                  <c:v>176.8</c:v>
                </c:pt>
                <c:pt idx="80">
                  <c:v>176.8</c:v>
                </c:pt>
                <c:pt idx="81">
                  <c:v>163.80000000000001</c:v>
                </c:pt>
                <c:pt idx="82">
                  <c:v>158.6</c:v>
                </c:pt>
                <c:pt idx="83">
                  <c:v>156</c:v>
                </c:pt>
                <c:pt idx="84">
                  <c:v>157.04</c:v>
                </c:pt>
                <c:pt idx="85">
                  <c:v>163.80000000000001</c:v>
                </c:pt>
                <c:pt idx="86">
                  <c:v>158.6</c:v>
                </c:pt>
                <c:pt idx="87">
                  <c:v>150.80000000000001</c:v>
                </c:pt>
                <c:pt idx="88">
                  <c:v>150.80000000000001</c:v>
                </c:pt>
                <c:pt idx="89">
                  <c:v>150.80000000000001</c:v>
                </c:pt>
                <c:pt idx="90">
                  <c:v>150.80000000000001</c:v>
                </c:pt>
                <c:pt idx="91">
                  <c:v>150.80000000000001</c:v>
                </c:pt>
                <c:pt idx="92">
                  <c:v>150.80000000000001</c:v>
                </c:pt>
                <c:pt idx="93">
                  <c:v>156</c:v>
                </c:pt>
                <c:pt idx="94">
                  <c:v>156</c:v>
                </c:pt>
                <c:pt idx="95">
                  <c:v>158.6</c:v>
                </c:pt>
                <c:pt idx="96">
                  <c:v>158.6</c:v>
                </c:pt>
                <c:pt idx="97">
                  <c:v>161.20000000000002</c:v>
                </c:pt>
                <c:pt idx="98">
                  <c:v>164.84</c:v>
                </c:pt>
                <c:pt idx="99">
                  <c:v>169</c:v>
                </c:pt>
                <c:pt idx="100">
                  <c:v>169</c:v>
                </c:pt>
                <c:pt idx="101">
                  <c:v>174.20000000000002</c:v>
                </c:pt>
                <c:pt idx="102">
                  <c:v>177.84</c:v>
                </c:pt>
                <c:pt idx="103">
                  <c:v>179.4</c:v>
                </c:pt>
                <c:pt idx="105">
                  <c:v>179.4</c:v>
                </c:pt>
                <c:pt idx="106">
                  <c:v>176.8</c:v>
                </c:pt>
                <c:pt idx="107">
                  <c:v>174.20000000000002</c:v>
                </c:pt>
                <c:pt idx="108">
                  <c:v>174.20000000000002</c:v>
                </c:pt>
                <c:pt idx="109">
                  <c:v>180.44</c:v>
                </c:pt>
                <c:pt idx="110">
                  <c:v>184.6</c:v>
                </c:pt>
                <c:pt idx="111">
                  <c:v>184.6</c:v>
                </c:pt>
                <c:pt idx="112">
                  <c:v>184.6</c:v>
                </c:pt>
                <c:pt idx="113">
                  <c:v>184.6</c:v>
                </c:pt>
                <c:pt idx="114">
                  <c:v>184.6</c:v>
                </c:pt>
                <c:pt idx="115">
                  <c:v>176.8</c:v>
                </c:pt>
                <c:pt idx="116">
                  <c:v>166.4</c:v>
                </c:pt>
                <c:pt idx="117">
                  <c:v>166.4</c:v>
                </c:pt>
                <c:pt idx="118">
                  <c:v>169</c:v>
                </c:pt>
                <c:pt idx="119">
                  <c:v>171.6</c:v>
                </c:pt>
                <c:pt idx="120">
                  <c:v>169</c:v>
                </c:pt>
                <c:pt idx="121">
                  <c:v>171.6</c:v>
                </c:pt>
                <c:pt idx="122">
                  <c:v>166.4</c:v>
                </c:pt>
                <c:pt idx="123">
                  <c:v>158.6</c:v>
                </c:pt>
                <c:pt idx="124">
                  <c:v>156</c:v>
                </c:pt>
                <c:pt idx="125">
                  <c:v>156</c:v>
                </c:pt>
                <c:pt idx="126">
                  <c:v>158.6</c:v>
                </c:pt>
                <c:pt idx="127">
                  <c:v>158.6</c:v>
                </c:pt>
                <c:pt idx="128">
                  <c:v>161.20000000000002</c:v>
                </c:pt>
                <c:pt idx="129">
                  <c:v>158.6</c:v>
                </c:pt>
                <c:pt idx="130">
                  <c:v>158.6</c:v>
                </c:pt>
                <c:pt idx="131">
                  <c:v>161.20000000000002</c:v>
                </c:pt>
                <c:pt idx="132">
                  <c:v>161.20000000000002</c:v>
                </c:pt>
                <c:pt idx="133">
                  <c:v>156</c:v>
                </c:pt>
              </c:numCache>
            </c:numRef>
          </c:val>
          <c:smooth val="0"/>
          <c:extLst>
            <c:ext xmlns:c16="http://schemas.microsoft.com/office/drawing/2014/chart" uri="{C3380CC4-5D6E-409C-BE32-E72D297353CC}">
              <c16:uniqueId val="{00000006-E1C0-424B-9A7C-03320C97EF0A}"/>
            </c:ext>
          </c:extLst>
        </c:ser>
        <c:dLbls>
          <c:showLegendKey val="0"/>
          <c:showVal val="0"/>
          <c:showCatName val="0"/>
          <c:showSerName val="0"/>
          <c:showPercent val="0"/>
          <c:showBubbleSize val="0"/>
        </c:dLbls>
        <c:marker val="1"/>
        <c:smooth val="0"/>
        <c:axId val="34683520"/>
        <c:axId val="34702464"/>
      </c:lineChart>
      <c:dateAx>
        <c:axId val="34683520"/>
        <c:scaling>
          <c:orientation val="minMax"/>
        </c:scaling>
        <c:delete val="0"/>
        <c:axPos val="b"/>
        <c:title>
          <c:tx>
            <c:rich>
              <a:bodyPr/>
              <a:lstStyle/>
              <a:p>
                <a:pPr>
                  <a:defRPr sz="850" b="1" i="0" u="none" strike="noStrike" baseline="0">
                    <a:solidFill>
                      <a:srgbClr val="000000"/>
                    </a:solidFill>
                    <a:latin typeface="Arial"/>
                    <a:ea typeface="Arial"/>
                    <a:cs typeface="Arial"/>
                  </a:defRPr>
                </a:pPr>
                <a:r>
                  <a:t>Time</a:t>
                </a:r>
              </a:p>
            </c:rich>
          </c:tx>
          <c:layout>
            <c:manualLayout>
              <c:xMode val="edge"/>
              <c:yMode val="edge"/>
              <c:x val="0.50675699559839693"/>
              <c:y val="0.76570617096759896"/>
            </c:manualLayout>
          </c:layout>
          <c:overlay val="0"/>
          <c:spPr>
            <a:noFill/>
            <a:ln w="25400">
              <a:noFill/>
            </a:ln>
          </c:spPr>
        </c:title>
        <c:numFmt formatCode="mmm\-yy" sourceLinked="0"/>
        <c:majorTickMark val="out"/>
        <c:minorTickMark val="none"/>
        <c:tickLblPos val="nextTo"/>
        <c:spPr>
          <a:ln w="3175">
            <a:solidFill>
              <a:srgbClr val="000000"/>
            </a:solidFill>
            <a:prstDash val="solid"/>
          </a:ln>
        </c:spPr>
        <c:txPr>
          <a:bodyPr rot="-5400000" vert="horz"/>
          <a:lstStyle/>
          <a:p>
            <a:pPr>
              <a:defRPr sz="850" b="0" i="0" u="none" strike="noStrike" baseline="0">
                <a:solidFill>
                  <a:srgbClr val="000000"/>
                </a:solidFill>
                <a:latin typeface="Arial"/>
                <a:ea typeface="Arial"/>
                <a:cs typeface="Arial"/>
              </a:defRPr>
            </a:pPr>
            <a:endParaRPr lang="en-US"/>
          </a:p>
        </c:txPr>
        <c:crossAx val="34702464"/>
        <c:crosses val="autoZero"/>
        <c:auto val="1"/>
        <c:lblOffset val="100"/>
        <c:baseTimeUnit val="days"/>
        <c:majorUnit val="1"/>
        <c:majorTimeUnit val="months"/>
        <c:minorUnit val="1"/>
        <c:minorTimeUnit val="months"/>
      </c:dateAx>
      <c:valAx>
        <c:axId val="34702464"/>
        <c:scaling>
          <c:orientation val="minMax"/>
          <c:min val="100"/>
        </c:scaling>
        <c:delete val="0"/>
        <c:axPos val="l"/>
        <c:majorGridlines>
          <c:spPr>
            <a:ln w="3175">
              <a:solidFill>
                <a:srgbClr val="000000"/>
              </a:solidFill>
              <a:prstDash val="solid"/>
            </a:ln>
          </c:spPr>
        </c:majorGridlines>
        <c:title>
          <c:tx>
            <c:rich>
              <a:bodyPr/>
              <a:lstStyle/>
              <a:p>
                <a:pPr>
                  <a:defRPr sz="850" b="1" i="0" u="none" strike="noStrike" baseline="0">
                    <a:solidFill>
                      <a:srgbClr val="000000"/>
                    </a:solidFill>
                    <a:latin typeface="Arial"/>
                    <a:ea typeface="Arial"/>
                    <a:cs typeface="Arial"/>
                  </a:defRPr>
                </a:pPr>
                <a:r>
                  <a:t>Price (cents per kg live weight)</a:t>
                </a:r>
              </a:p>
            </c:rich>
          </c:tx>
          <c:layout>
            <c:manualLayout>
              <c:xMode val="edge"/>
              <c:yMode val="edge"/>
              <c:x val="1.8339776983561033E-2"/>
              <c:y val="0.21392234488230039"/>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850" b="0" i="0" u="none" strike="noStrike" baseline="0">
                <a:solidFill>
                  <a:srgbClr val="000000"/>
                </a:solidFill>
                <a:latin typeface="Arial"/>
                <a:ea typeface="Arial"/>
                <a:cs typeface="Arial"/>
              </a:defRPr>
            </a:pPr>
            <a:endParaRPr lang="en-US"/>
          </a:p>
        </c:txPr>
        <c:crossAx val="34683520"/>
        <c:crosses val="autoZero"/>
        <c:crossBetween val="between"/>
      </c:valAx>
      <c:spPr>
        <a:noFill/>
        <a:ln w="25400">
          <a:noFill/>
        </a:ln>
      </c:spPr>
    </c:plotArea>
    <c:legend>
      <c:legendPos val="b"/>
      <c:layout>
        <c:manualLayout>
          <c:xMode val="edge"/>
          <c:yMode val="edge"/>
          <c:x val="0.14478771302811341"/>
          <c:y val="0.83022243370987991"/>
          <c:w val="0.75868761626731429"/>
          <c:h val="0.15449947130388358"/>
        </c:manualLayout>
      </c:layout>
      <c:overlay val="0"/>
      <c:spPr>
        <a:solidFill>
          <a:srgbClr val="FFFFFF"/>
        </a:solidFill>
        <a:ln w="3175">
          <a:solidFill>
            <a:srgbClr val="000000"/>
          </a:solidFill>
          <a:prstDash val="solid"/>
        </a:ln>
      </c:spPr>
      <c:txPr>
        <a:bodyPr/>
        <a:lstStyle/>
        <a:p>
          <a:pPr>
            <a:defRPr sz="78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8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75" b="0" i="0" u="none" strike="noStrike" baseline="0">
                <a:solidFill>
                  <a:srgbClr val="000000"/>
                </a:solidFill>
                <a:latin typeface="Arial"/>
                <a:ea typeface="Arial"/>
                <a:cs typeface="Arial"/>
              </a:defRPr>
            </a:pPr>
            <a:r>
              <a:t>Difference between Jap ox price and medium stores</a:t>
            </a:r>
          </a:p>
        </c:rich>
      </c:tx>
      <c:layout>
        <c:manualLayout>
          <c:xMode val="edge"/>
          <c:yMode val="edge"/>
          <c:x val="0.26992031872509958"/>
          <c:y val="3.225813137114053E-2"/>
        </c:manualLayout>
      </c:layout>
      <c:overlay val="0"/>
      <c:spPr>
        <a:noFill/>
        <a:ln w="25400">
          <a:noFill/>
        </a:ln>
      </c:spPr>
    </c:title>
    <c:autoTitleDeleted val="0"/>
    <c:plotArea>
      <c:layout>
        <c:manualLayout>
          <c:layoutTarget val="inner"/>
          <c:xMode val="edge"/>
          <c:yMode val="edge"/>
          <c:x val="0.10159362549800798"/>
          <c:y val="0.16129065685570265"/>
          <c:w val="0.86752988047808777"/>
          <c:h val="0.6010199213359867"/>
        </c:manualLayout>
      </c:layout>
      <c:barChart>
        <c:barDir val="col"/>
        <c:grouping val="clustered"/>
        <c:varyColors val="0"/>
        <c:ser>
          <c:idx val="0"/>
          <c:order val="0"/>
          <c:tx>
            <c:strRef>
              <c:f>Prices!$M$101</c:f>
              <c:strCache>
                <c:ptCount val="1"/>
                <c:pt idx="0">
                  <c:v>Jap ox price minus medium store price</c:v>
                </c:pt>
              </c:strCache>
            </c:strRef>
          </c:tx>
          <c:spPr>
            <a:solidFill>
              <a:srgbClr val="9999FF"/>
            </a:solidFill>
            <a:ln w="12700">
              <a:solidFill>
                <a:srgbClr val="000000"/>
              </a:solidFill>
              <a:prstDash val="solid"/>
            </a:ln>
          </c:spPr>
          <c:invertIfNegative val="0"/>
          <c:cat>
            <c:numRef>
              <c:f>Prices!$C$102:$C$236</c:f>
              <c:numCache>
                <c:formatCode>d/mm/yy</c:formatCode>
                <c:ptCount val="135"/>
                <c:pt idx="0">
                  <c:v>39969</c:v>
                </c:pt>
                <c:pt idx="1">
                  <c:v>39976</c:v>
                </c:pt>
                <c:pt idx="2">
                  <c:v>39983</c:v>
                </c:pt>
                <c:pt idx="3">
                  <c:v>39990</c:v>
                </c:pt>
                <c:pt idx="4">
                  <c:v>39997</c:v>
                </c:pt>
                <c:pt idx="5">
                  <c:v>40004</c:v>
                </c:pt>
                <c:pt idx="6">
                  <c:v>40011</c:v>
                </c:pt>
                <c:pt idx="7">
                  <c:v>40018</c:v>
                </c:pt>
                <c:pt idx="8">
                  <c:v>40025</c:v>
                </c:pt>
                <c:pt idx="9">
                  <c:v>40032</c:v>
                </c:pt>
                <c:pt idx="10">
                  <c:v>40039</c:v>
                </c:pt>
                <c:pt idx="11">
                  <c:v>40046</c:v>
                </c:pt>
                <c:pt idx="12">
                  <c:v>40053</c:v>
                </c:pt>
                <c:pt idx="13">
                  <c:v>40060</c:v>
                </c:pt>
                <c:pt idx="14">
                  <c:v>40067</c:v>
                </c:pt>
                <c:pt idx="15">
                  <c:v>40074</c:v>
                </c:pt>
                <c:pt idx="16">
                  <c:v>40081</c:v>
                </c:pt>
                <c:pt idx="17">
                  <c:v>40088</c:v>
                </c:pt>
                <c:pt idx="18">
                  <c:v>40095</c:v>
                </c:pt>
                <c:pt idx="19">
                  <c:v>40102</c:v>
                </c:pt>
                <c:pt idx="20">
                  <c:v>40109</c:v>
                </c:pt>
                <c:pt idx="21">
                  <c:v>40116</c:v>
                </c:pt>
                <c:pt idx="22">
                  <c:v>40123</c:v>
                </c:pt>
                <c:pt idx="23">
                  <c:v>40130</c:v>
                </c:pt>
                <c:pt idx="24">
                  <c:v>40137</c:v>
                </c:pt>
                <c:pt idx="25">
                  <c:v>40144</c:v>
                </c:pt>
                <c:pt idx="26">
                  <c:v>40151</c:v>
                </c:pt>
                <c:pt idx="27">
                  <c:v>40158</c:v>
                </c:pt>
                <c:pt idx="28">
                  <c:v>40193</c:v>
                </c:pt>
                <c:pt idx="29">
                  <c:v>40200</c:v>
                </c:pt>
                <c:pt idx="30">
                  <c:v>40207</c:v>
                </c:pt>
                <c:pt idx="31">
                  <c:v>40214</c:v>
                </c:pt>
                <c:pt idx="32">
                  <c:v>40235</c:v>
                </c:pt>
                <c:pt idx="33">
                  <c:v>40242</c:v>
                </c:pt>
                <c:pt idx="34">
                  <c:v>40249</c:v>
                </c:pt>
                <c:pt idx="35">
                  <c:v>40256</c:v>
                </c:pt>
                <c:pt idx="36">
                  <c:v>40263</c:v>
                </c:pt>
                <c:pt idx="37">
                  <c:v>40270</c:v>
                </c:pt>
                <c:pt idx="38">
                  <c:v>40277</c:v>
                </c:pt>
                <c:pt idx="39">
                  <c:v>40291</c:v>
                </c:pt>
                <c:pt idx="40">
                  <c:v>40298</c:v>
                </c:pt>
                <c:pt idx="41">
                  <c:v>40305</c:v>
                </c:pt>
                <c:pt idx="42">
                  <c:v>40312</c:v>
                </c:pt>
                <c:pt idx="43">
                  <c:v>40319</c:v>
                </c:pt>
                <c:pt idx="44">
                  <c:v>40326</c:v>
                </c:pt>
                <c:pt idx="45">
                  <c:v>40333</c:v>
                </c:pt>
                <c:pt idx="46">
                  <c:v>40340</c:v>
                </c:pt>
                <c:pt idx="47">
                  <c:v>40347</c:v>
                </c:pt>
                <c:pt idx="48">
                  <c:v>40354</c:v>
                </c:pt>
                <c:pt idx="49">
                  <c:v>40361</c:v>
                </c:pt>
                <c:pt idx="50">
                  <c:v>40375</c:v>
                </c:pt>
                <c:pt idx="51">
                  <c:v>40382</c:v>
                </c:pt>
                <c:pt idx="52">
                  <c:v>40389</c:v>
                </c:pt>
                <c:pt idx="53">
                  <c:v>40396</c:v>
                </c:pt>
                <c:pt idx="54">
                  <c:v>40403</c:v>
                </c:pt>
                <c:pt idx="55">
                  <c:v>40410</c:v>
                </c:pt>
                <c:pt idx="56">
                  <c:v>40417</c:v>
                </c:pt>
                <c:pt idx="57">
                  <c:v>40424</c:v>
                </c:pt>
                <c:pt idx="58">
                  <c:v>40431</c:v>
                </c:pt>
                <c:pt idx="59">
                  <c:v>40438</c:v>
                </c:pt>
                <c:pt idx="60">
                  <c:v>40452</c:v>
                </c:pt>
                <c:pt idx="61">
                  <c:v>40459</c:v>
                </c:pt>
                <c:pt idx="62">
                  <c:v>40466</c:v>
                </c:pt>
                <c:pt idx="63">
                  <c:v>40473</c:v>
                </c:pt>
                <c:pt idx="64">
                  <c:v>40480</c:v>
                </c:pt>
                <c:pt idx="65">
                  <c:v>40487</c:v>
                </c:pt>
                <c:pt idx="66">
                  <c:v>40494</c:v>
                </c:pt>
                <c:pt idx="67">
                  <c:v>40501</c:v>
                </c:pt>
                <c:pt idx="68">
                  <c:v>40508</c:v>
                </c:pt>
                <c:pt idx="69">
                  <c:v>40515</c:v>
                </c:pt>
                <c:pt idx="70">
                  <c:v>40522</c:v>
                </c:pt>
                <c:pt idx="71">
                  <c:v>40571</c:v>
                </c:pt>
                <c:pt idx="72">
                  <c:v>40578</c:v>
                </c:pt>
                <c:pt idx="73">
                  <c:v>40585</c:v>
                </c:pt>
                <c:pt idx="74">
                  <c:v>40592</c:v>
                </c:pt>
                <c:pt idx="75">
                  <c:v>40599</c:v>
                </c:pt>
                <c:pt idx="76">
                  <c:v>40606</c:v>
                </c:pt>
                <c:pt idx="77">
                  <c:v>40613</c:v>
                </c:pt>
                <c:pt idx="78">
                  <c:v>40620</c:v>
                </c:pt>
                <c:pt idx="79">
                  <c:v>40627</c:v>
                </c:pt>
                <c:pt idx="80">
                  <c:v>40641</c:v>
                </c:pt>
                <c:pt idx="81">
                  <c:v>40662</c:v>
                </c:pt>
                <c:pt idx="82">
                  <c:v>40669</c:v>
                </c:pt>
                <c:pt idx="83">
                  <c:v>40676</c:v>
                </c:pt>
                <c:pt idx="84">
                  <c:v>40683</c:v>
                </c:pt>
                <c:pt idx="85">
                  <c:v>40697</c:v>
                </c:pt>
                <c:pt idx="86">
                  <c:v>40704</c:v>
                </c:pt>
                <c:pt idx="87">
                  <c:v>40711</c:v>
                </c:pt>
                <c:pt idx="88">
                  <c:v>40718</c:v>
                </c:pt>
                <c:pt idx="89">
                  <c:v>40725</c:v>
                </c:pt>
                <c:pt idx="90">
                  <c:v>40732</c:v>
                </c:pt>
                <c:pt idx="91">
                  <c:v>40739</c:v>
                </c:pt>
                <c:pt idx="92">
                  <c:v>40746</c:v>
                </c:pt>
                <c:pt idx="93">
                  <c:v>40753</c:v>
                </c:pt>
                <c:pt idx="94">
                  <c:v>40760</c:v>
                </c:pt>
                <c:pt idx="95">
                  <c:v>40767</c:v>
                </c:pt>
                <c:pt idx="96">
                  <c:v>40774</c:v>
                </c:pt>
                <c:pt idx="97">
                  <c:v>40781</c:v>
                </c:pt>
                <c:pt idx="98">
                  <c:v>40788</c:v>
                </c:pt>
                <c:pt idx="99">
                  <c:v>40795</c:v>
                </c:pt>
                <c:pt idx="100">
                  <c:v>40802</c:v>
                </c:pt>
                <c:pt idx="101">
                  <c:v>40809</c:v>
                </c:pt>
                <c:pt idx="102">
                  <c:v>40816</c:v>
                </c:pt>
                <c:pt idx="103">
                  <c:v>40823</c:v>
                </c:pt>
                <c:pt idx="104">
                  <c:v>40830</c:v>
                </c:pt>
                <c:pt idx="105">
                  <c:v>40837</c:v>
                </c:pt>
                <c:pt idx="106">
                  <c:v>40844</c:v>
                </c:pt>
                <c:pt idx="107">
                  <c:v>40851</c:v>
                </c:pt>
                <c:pt idx="108">
                  <c:v>40858</c:v>
                </c:pt>
                <c:pt idx="109">
                  <c:v>40865</c:v>
                </c:pt>
                <c:pt idx="110">
                  <c:v>40872</c:v>
                </c:pt>
                <c:pt idx="111">
                  <c:v>40879</c:v>
                </c:pt>
                <c:pt idx="112">
                  <c:v>40886</c:v>
                </c:pt>
                <c:pt idx="113">
                  <c:v>40893</c:v>
                </c:pt>
                <c:pt idx="114">
                  <c:v>40921</c:v>
                </c:pt>
                <c:pt idx="115">
                  <c:v>40928</c:v>
                </c:pt>
                <c:pt idx="116">
                  <c:v>40956</c:v>
                </c:pt>
                <c:pt idx="117">
                  <c:v>40963</c:v>
                </c:pt>
                <c:pt idx="118">
                  <c:v>40970</c:v>
                </c:pt>
                <c:pt idx="119">
                  <c:v>40977</c:v>
                </c:pt>
                <c:pt idx="120">
                  <c:v>40984</c:v>
                </c:pt>
                <c:pt idx="121">
                  <c:v>40991</c:v>
                </c:pt>
                <c:pt idx="122">
                  <c:v>40998</c:v>
                </c:pt>
                <c:pt idx="123">
                  <c:v>41012</c:v>
                </c:pt>
                <c:pt idx="124">
                  <c:v>41019</c:v>
                </c:pt>
                <c:pt idx="125">
                  <c:v>41026</c:v>
                </c:pt>
                <c:pt idx="126">
                  <c:v>41033</c:v>
                </c:pt>
                <c:pt idx="127">
                  <c:v>41040</c:v>
                </c:pt>
                <c:pt idx="128">
                  <c:v>41047</c:v>
                </c:pt>
                <c:pt idx="129">
                  <c:v>41054</c:v>
                </c:pt>
                <c:pt idx="130">
                  <c:v>41061</c:v>
                </c:pt>
                <c:pt idx="131">
                  <c:v>41068</c:v>
                </c:pt>
                <c:pt idx="132">
                  <c:v>41075</c:v>
                </c:pt>
                <c:pt idx="133">
                  <c:v>41082</c:v>
                </c:pt>
                <c:pt idx="134">
                  <c:v>41089</c:v>
                </c:pt>
              </c:numCache>
            </c:numRef>
          </c:cat>
          <c:val>
            <c:numRef>
              <c:f>Prices!$M$121:$M$236</c:f>
              <c:numCache>
                <c:formatCode>General</c:formatCode>
                <c:ptCount val="116"/>
                <c:pt idx="0">
                  <c:v>0.14200000000000018</c:v>
                </c:pt>
                <c:pt idx="1">
                  <c:v>0</c:v>
                </c:pt>
                <c:pt idx="2">
                  <c:v>0</c:v>
                </c:pt>
                <c:pt idx="3">
                  <c:v>0</c:v>
                </c:pt>
                <c:pt idx="4">
                  <c:v>0</c:v>
                </c:pt>
                <c:pt idx="5">
                  <c:v>0</c:v>
                </c:pt>
                <c:pt idx="6">
                  <c:v>0</c:v>
                </c:pt>
                <c:pt idx="7">
                  <c:v>0</c:v>
                </c:pt>
                <c:pt idx="8">
                  <c:v>0</c:v>
                </c:pt>
                <c:pt idx="9">
                  <c:v>3.8000000000000117E-2</c:v>
                </c:pt>
                <c:pt idx="10">
                  <c:v>4.0399999999999922E-2</c:v>
                </c:pt>
                <c:pt idx="11">
                  <c:v>1.039999999999992E-2</c:v>
                </c:pt>
                <c:pt idx="12">
                  <c:v>4.6400000000000149E-2</c:v>
                </c:pt>
                <c:pt idx="13">
                  <c:v>0</c:v>
                </c:pt>
                <c:pt idx="14">
                  <c:v>0</c:v>
                </c:pt>
                <c:pt idx="15">
                  <c:v>0</c:v>
                </c:pt>
                <c:pt idx="16">
                  <c:v>0.01</c:v>
                </c:pt>
                <c:pt idx="17">
                  <c:v>-0.12199999999999989</c:v>
                </c:pt>
                <c:pt idx="18">
                  <c:v>-7.7999999999999833E-2</c:v>
                </c:pt>
                <c:pt idx="19">
                  <c:v>4.0000000000000565E-3</c:v>
                </c:pt>
                <c:pt idx="20">
                  <c:v>-1.5999999999999945E-2</c:v>
                </c:pt>
                <c:pt idx="21">
                  <c:v>-1.9999999999998864E-3</c:v>
                </c:pt>
                <c:pt idx="22">
                  <c:v>-4.7999999999999828E-2</c:v>
                </c:pt>
                <c:pt idx="23">
                  <c:v>1.8000000000000113E-2</c:v>
                </c:pt>
                <c:pt idx="24">
                  <c:v>5.8000000000000114E-2</c:v>
                </c:pt>
                <c:pt idx="25">
                  <c:v>8.800000000000012E-2</c:v>
                </c:pt>
                <c:pt idx="26">
                  <c:v>0.1</c:v>
                </c:pt>
                <c:pt idx="27">
                  <c:v>6.4000000000000057E-2</c:v>
                </c:pt>
                <c:pt idx="28">
                  <c:v>1.8000000000000113E-2</c:v>
                </c:pt>
                <c:pt idx="29">
                  <c:v>0</c:v>
                </c:pt>
                <c:pt idx="30">
                  <c:v>9.8000000000000115E-2</c:v>
                </c:pt>
                <c:pt idx="31">
                  <c:v>0</c:v>
                </c:pt>
                <c:pt idx="32">
                  <c:v>0</c:v>
                </c:pt>
                <c:pt idx="33">
                  <c:v>0</c:v>
                </c:pt>
                <c:pt idx="34">
                  <c:v>0</c:v>
                </c:pt>
                <c:pt idx="35">
                  <c:v>-2.5999999999999943E-2</c:v>
                </c:pt>
                <c:pt idx="36">
                  <c:v>0</c:v>
                </c:pt>
                <c:pt idx="37">
                  <c:v>0</c:v>
                </c:pt>
                <c:pt idx="38">
                  <c:v>0.04</c:v>
                </c:pt>
                <c:pt idx="39">
                  <c:v>-0.02</c:v>
                </c:pt>
                <c:pt idx="40">
                  <c:v>-0.16</c:v>
                </c:pt>
                <c:pt idx="41">
                  <c:v>0</c:v>
                </c:pt>
                <c:pt idx="42">
                  <c:v>0.03</c:v>
                </c:pt>
                <c:pt idx="43">
                  <c:v>0</c:v>
                </c:pt>
                <c:pt idx="44">
                  <c:v>-7.5999999999999943E-2</c:v>
                </c:pt>
                <c:pt idx="45">
                  <c:v>0</c:v>
                </c:pt>
                <c:pt idx="46">
                  <c:v>-0.12199999999999989</c:v>
                </c:pt>
                <c:pt idx="47">
                  <c:v>0</c:v>
                </c:pt>
                <c:pt idx="48">
                  <c:v>0</c:v>
                </c:pt>
                <c:pt idx="49">
                  <c:v>0</c:v>
                </c:pt>
                <c:pt idx="50">
                  <c:v>-0.06</c:v>
                </c:pt>
                <c:pt idx="51">
                  <c:v>-0.17</c:v>
                </c:pt>
                <c:pt idx="52">
                  <c:v>-0.14000000000000001</c:v>
                </c:pt>
                <c:pt idx="53">
                  <c:v>-0.10799999999999983</c:v>
                </c:pt>
                <c:pt idx="54">
                  <c:v>-3.5999999999999942E-2</c:v>
                </c:pt>
                <c:pt idx="55">
                  <c:v>-4.5999999999999944E-2</c:v>
                </c:pt>
                <c:pt idx="56">
                  <c:v>-8.7999999999999828E-2</c:v>
                </c:pt>
                <c:pt idx="57">
                  <c:v>-0.10799999999999983</c:v>
                </c:pt>
                <c:pt idx="58">
                  <c:v>0</c:v>
                </c:pt>
                <c:pt idx="59">
                  <c:v>0</c:v>
                </c:pt>
                <c:pt idx="60">
                  <c:v>-0.16</c:v>
                </c:pt>
                <c:pt idx="61">
                  <c:v>-0.18400000000000005</c:v>
                </c:pt>
                <c:pt idx="62">
                  <c:v>-0.28000000000000003</c:v>
                </c:pt>
                <c:pt idx="63">
                  <c:v>-0.11199999999999989</c:v>
                </c:pt>
                <c:pt idx="64">
                  <c:v>-0.14799999999999983</c:v>
                </c:pt>
                <c:pt idx="65">
                  <c:v>-9.8599999999999854E-2</c:v>
                </c:pt>
                <c:pt idx="66">
                  <c:v>-0.15800000000000011</c:v>
                </c:pt>
                <c:pt idx="67">
                  <c:v>-2.1999999999999888E-2</c:v>
                </c:pt>
                <c:pt idx="68">
                  <c:v>-0.13</c:v>
                </c:pt>
                <c:pt idx="69">
                  <c:v>-0.1</c:v>
                </c:pt>
                <c:pt idx="70">
                  <c:v>-0.1</c:v>
                </c:pt>
                <c:pt idx="71">
                  <c:v>-0.12</c:v>
                </c:pt>
                <c:pt idx="72">
                  <c:v>-0.17</c:v>
                </c:pt>
                <c:pt idx="73">
                  <c:v>-0.08</c:v>
                </c:pt>
                <c:pt idx="74">
                  <c:v>-8.7999999999999828E-2</c:v>
                </c:pt>
                <c:pt idx="75">
                  <c:v>-3.7999999999999833E-2</c:v>
                </c:pt>
                <c:pt idx="76">
                  <c:v>1.3000000000000114E-2</c:v>
                </c:pt>
                <c:pt idx="77">
                  <c:v>-8.1999999999999892E-2</c:v>
                </c:pt>
                <c:pt idx="78">
                  <c:v>-7.5999999999999943E-2</c:v>
                </c:pt>
                <c:pt idx="79">
                  <c:v>-0.14960000000000007</c:v>
                </c:pt>
                <c:pt idx="80">
                  <c:v>0.10200000000000017</c:v>
                </c:pt>
                <c:pt idx="81">
                  <c:v>-2.7999999999999831E-2</c:v>
                </c:pt>
                <c:pt idx="82">
                  <c:v>-4.5999999999999944E-2</c:v>
                </c:pt>
                <c:pt idx="83">
                  <c:v>4.0000000000020466E-4</c:v>
                </c:pt>
                <c:pt idx="84">
                  <c:v>7.5999999999999943E-2</c:v>
                </c:pt>
                <c:pt idx="85">
                  <c:v>0</c:v>
                </c:pt>
                <c:pt idx="86">
                  <c:v>5.9999999999999429E-3</c:v>
                </c:pt>
                <c:pt idx="87">
                  <c:v>0.01</c:v>
                </c:pt>
                <c:pt idx="88">
                  <c:v>4.400000000000006E-2</c:v>
                </c:pt>
                <c:pt idx="89">
                  <c:v>0.17400000000000004</c:v>
                </c:pt>
                <c:pt idx="90">
                  <c:v>-2.3599999999999854E-2</c:v>
                </c:pt>
                <c:pt idx="91">
                  <c:v>0.12800000000000011</c:v>
                </c:pt>
                <c:pt idx="92">
                  <c:v>0.16800000000000012</c:v>
                </c:pt>
                <c:pt idx="93">
                  <c:v>8.0000000000001129E-3</c:v>
                </c:pt>
                <c:pt idx="94">
                  <c:v>-0.10199999999999988</c:v>
                </c:pt>
                <c:pt idx="95">
                  <c:v>-2.1999999999999888E-2</c:v>
                </c:pt>
                <c:pt idx="96">
                  <c:v>0.13</c:v>
                </c:pt>
                <c:pt idx="97">
                  <c:v>-0.13400000000000006</c:v>
                </c:pt>
                <c:pt idx="98">
                  <c:v>-0.14400000000000004</c:v>
                </c:pt>
                <c:pt idx="99">
                  <c:v>-4.7999999999999828E-2</c:v>
                </c:pt>
                <c:pt idx="100">
                  <c:v>4.8000000000000112E-2</c:v>
                </c:pt>
                <c:pt idx="101">
                  <c:v>-0.18799999999999983</c:v>
                </c:pt>
                <c:pt idx="102">
                  <c:v>0</c:v>
                </c:pt>
                <c:pt idx="103">
                  <c:v>-9.4000000000000056E-2</c:v>
                </c:pt>
                <c:pt idx="104">
                  <c:v>-0.21199999999999988</c:v>
                </c:pt>
                <c:pt idx="105">
                  <c:v>-0.10799999999999983</c:v>
                </c:pt>
                <c:pt idx="106">
                  <c:v>-0.11799999999999983</c:v>
                </c:pt>
                <c:pt idx="107">
                  <c:v>-0.12199999999999989</c:v>
                </c:pt>
                <c:pt idx="108">
                  <c:v>-0.11199999999999989</c:v>
                </c:pt>
                <c:pt idx="109">
                  <c:v>-0.14599999999999994</c:v>
                </c:pt>
                <c:pt idx="110">
                  <c:v>-0.10199999999999988</c:v>
                </c:pt>
                <c:pt idx="111">
                  <c:v>-0.16199999999999989</c:v>
                </c:pt>
                <c:pt idx="112">
                  <c:v>-0.11599999999999994</c:v>
                </c:pt>
                <c:pt idx="113">
                  <c:v>0</c:v>
                </c:pt>
                <c:pt idx="114">
                  <c:v>-5.7999999999999829E-2</c:v>
                </c:pt>
                <c:pt idx="115">
                  <c:v>0</c:v>
                </c:pt>
              </c:numCache>
            </c:numRef>
          </c:val>
          <c:extLst>
            <c:ext xmlns:c16="http://schemas.microsoft.com/office/drawing/2014/chart" uri="{C3380CC4-5D6E-409C-BE32-E72D297353CC}">
              <c16:uniqueId val="{00000000-290C-4F35-B890-93FE0F9B4284}"/>
            </c:ext>
          </c:extLst>
        </c:ser>
        <c:dLbls>
          <c:showLegendKey val="0"/>
          <c:showVal val="0"/>
          <c:showCatName val="0"/>
          <c:showSerName val="0"/>
          <c:showPercent val="0"/>
          <c:showBubbleSize val="0"/>
        </c:dLbls>
        <c:gapWidth val="0"/>
        <c:axId val="34740096"/>
        <c:axId val="34742272"/>
      </c:barChart>
      <c:dateAx>
        <c:axId val="34740096"/>
        <c:scaling>
          <c:orientation val="minMax"/>
        </c:scaling>
        <c:delete val="0"/>
        <c:axPos val="b"/>
        <c:title>
          <c:tx>
            <c:rich>
              <a:bodyPr/>
              <a:lstStyle/>
              <a:p>
                <a:pPr>
                  <a:defRPr sz="850" b="1" i="0" u="none" strike="noStrike" baseline="0">
                    <a:solidFill>
                      <a:srgbClr val="000000"/>
                    </a:solidFill>
                    <a:latin typeface="Arial"/>
                    <a:ea typeface="Arial"/>
                    <a:cs typeface="Arial"/>
                  </a:defRPr>
                </a:pPr>
                <a:r>
                  <a:t>Time</a:t>
                </a:r>
              </a:p>
            </c:rich>
          </c:tx>
          <c:layout>
            <c:manualLayout>
              <c:xMode val="edge"/>
              <c:yMode val="edge"/>
              <c:x val="0.51693227091633465"/>
              <c:y val="0.86248056508102033"/>
            </c:manualLayout>
          </c:layout>
          <c:overlay val="0"/>
          <c:spPr>
            <a:noFill/>
            <a:ln w="25400">
              <a:noFill/>
            </a:ln>
          </c:spPr>
        </c:title>
        <c:numFmt formatCode="mmm\-yy" sourceLinked="0"/>
        <c:majorTickMark val="out"/>
        <c:minorTickMark val="none"/>
        <c:tickLblPos val="low"/>
        <c:spPr>
          <a:ln w="3175">
            <a:solidFill>
              <a:srgbClr val="000000"/>
            </a:solidFill>
            <a:prstDash val="solid"/>
          </a:ln>
        </c:spPr>
        <c:txPr>
          <a:bodyPr rot="-5400000" vert="horz"/>
          <a:lstStyle/>
          <a:p>
            <a:pPr>
              <a:defRPr sz="850" b="0" i="0" u="none" strike="noStrike" baseline="0">
                <a:solidFill>
                  <a:srgbClr val="000000"/>
                </a:solidFill>
                <a:latin typeface="Arial"/>
                <a:ea typeface="Arial"/>
                <a:cs typeface="Arial"/>
              </a:defRPr>
            </a:pPr>
            <a:endParaRPr lang="en-US"/>
          </a:p>
        </c:txPr>
        <c:crossAx val="34742272"/>
        <c:crosses val="autoZero"/>
        <c:auto val="1"/>
        <c:lblOffset val="100"/>
        <c:baseTimeUnit val="days"/>
        <c:majorUnit val="1"/>
        <c:majorTimeUnit val="months"/>
        <c:minorUnit val="1"/>
        <c:minorTimeUnit val="months"/>
      </c:dateAx>
      <c:valAx>
        <c:axId val="34742272"/>
        <c:scaling>
          <c:orientation val="minMax"/>
        </c:scaling>
        <c:delete val="0"/>
        <c:axPos val="l"/>
        <c:majorGridlines>
          <c:spPr>
            <a:ln w="3175">
              <a:solidFill>
                <a:srgbClr val="000000"/>
              </a:solidFill>
              <a:prstDash val="solid"/>
            </a:ln>
          </c:spPr>
        </c:majorGridlines>
        <c:title>
          <c:tx>
            <c:rich>
              <a:bodyPr/>
              <a:lstStyle/>
              <a:p>
                <a:pPr>
                  <a:defRPr sz="850" b="1" i="0" u="none" strike="noStrike" baseline="0">
                    <a:solidFill>
                      <a:srgbClr val="000000"/>
                    </a:solidFill>
                    <a:latin typeface="Arial"/>
                    <a:ea typeface="Arial"/>
                    <a:cs typeface="Arial"/>
                  </a:defRPr>
                </a:pPr>
                <a:r>
                  <a:t>Price difference (cents per kg live)</a:t>
                </a:r>
              </a:p>
            </c:rich>
          </c:tx>
          <c:layout>
            <c:manualLayout>
              <c:xMode val="edge"/>
              <c:yMode val="edge"/>
              <c:x val="2.4900398406374504E-2"/>
              <c:y val="0.25127386541730523"/>
            </c:manualLayout>
          </c:layout>
          <c:overlay val="0"/>
          <c:spPr>
            <a:noFill/>
            <a:ln w="25400">
              <a:noFill/>
            </a:ln>
          </c:spPr>
        </c:title>
        <c:numFmt formatCode="\$#,##0.00" sourceLinked="0"/>
        <c:majorTickMark val="out"/>
        <c:minorTickMark val="none"/>
        <c:tickLblPos val="nextTo"/>
        <c:spPr>
          <a:ln w="3175">
            <a:solidFill>
              <a:srgbClr val="000000"/>
            </a:solidFill>
            <a:prstDash val="solid"/>
          </a:ln>
        </c:spPr>
        <c:txPr>
          <a:bodyPr rot="0" vert="horz"/>
          <a:lstStyle/>
          <a:p>
            <a:pPr>
              <a:defRPr sz="850" b="0" i="0" u="none" strike="noStrike" baseline="0">
                <a:solidFill>
                  <a:srgbClr val="000000"/>
                </a:solidFill>
                <a:latin typeface="Arial"/>
                <a:ea typeface="Arial"/>
                <a:cs typeface="Arial"/>
              </a:defRPr>
            </a:pPr>
            <a:endParaRPr lang="en-US"/>
          </a:p>
        </c:txPr>
        <c:crossAx val="34740096"/>
        <c:crosses val="autoZero"/>
        <c:crossBetween val="between"/>
      </c:valAx>
      <c:spPr>
        <a:noFill/>
        <a:ln w="25400">
          <a:noFill/>
        </a:ln>
      </c:spPr>
    </c:plotArea>
    <c:legend>
      <c:legendPos val="b"/>
      <c:layout>
        <c:manualLayout>
          <c:xMode val="edge"/>
          <c:yMode val="edge"/>
          <c:x val="0.3894422310756972"/>
          <c:y val="0.93378801337512063"/>
          <c:w val="0.3655378486055777"/>
          <c:h val="4.7538298862733419E-2"/>
        </c:manualLayout>
      </c:layout>
      <c:overlay val="0"/>
      <c:spPr>
        <a:solidFill>
          <a:srgbClr val="FFFFFF"/>
        </a:solidFill>
        <a:ln w="3175">
          <a:solidFill>
            <a:srgbClr val="000000"/>
          </a:solidFill>
          <a:prstDash val="solid"/>
        </a:ln>
      </c:spPr>
      <c:txPr>
        <a:bodyPr/>
        <a:lstStyle/>
        <a:p>
          <a:pPr>
            <a:defRPr sz="78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8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b="1" i="0" u="none" strike="noStrike" baseline="0">
                <a:solidFill>
                  <a:srgbClr val="000000"/>
                </a:solidFill>
                <a:latin typeface="Arial"/>
                <a:ea typeface="Arial"/>
                <a:cs typeface="Arial"/>
              </a:defRPr>
            </a:pPr>
            <a:r>
              <a:t>Steer prices</a:t>
            </a:r>
          </a:p>
        </c:rich>
      </c:tx>
      <c:layout>
        <c:manualLayout>
          <c:xMode val="edge"/>
          <c:yMode val="edge"/>
          <c:x val="0.45527705217059744"/>
          <c:y val="3.2136180016512993E-2"/>
        </c:manualLayout>
      </c:layout>
      <c:overlay val="0"/>
      <c:spPr>
        <a:noFill/>
        <a:ln w="25400">
          <a:noFill/>
        </a:ln>
      </c:spPr>
    </c:title>
    <c:autoTitleDeleted val="0"/>
    <c:plotArea>
      <c:layout>
        <c:manualLayout>
          <c:layoutTarget val="inner"/>
          <c:xMode val="edge"/>
          <c:yMode val="edge"/>
          <c:x val="7.5376995392483007E-2"/>
          <c:y val="0.14744835536988316"/>
          <c:w val="0.8964837318679314"/>
          <c:h val="0.61625851090489625"/>
        </c:manualLayout>
      </c:layout>
      <c:lineChart>
        <c:grouping val="standard"/>
        <c:varyColors val="0"/>
        <c:ser>
          <c:idx val="1"/>
          <c:order val="0"/>
          <c:tx>
            <c:strRef>
              <c:f>Prices!$E$101</c:f>
              <c:strCache>
                <c:ptCount val="1"/>
                <c:pt idx="0">
                  <c:v>301-400 stores Gracemere c/kg live</c:v>
                </c:pt>
              </c:strCache>
            </c:strRef>
          </c:tx>
          <c:spPr>
            <a:ln w="12700">
              <a:solidFill>
                <a:srgbClr val="FF00FF"/>
              </a:solidFill>
              <a:prstDash val="solid"/>
            </a:ln>
          </c:spPr>
          <c:marker>
            <c:symbol val="square"/>
            <c:size val="5"/>
            <c:spPr>
              <a:solidFill>
                <a:srgbClr val="FF00FF"/>
              </a:solidFill>
              <a:ln>
                <a:solidFill>
                  <a:srgbClr val="FF00FF"/>
                </a:solidFill>
                <a:prstDash val="solid"/>
              </a:ln>
            </c:spPr>
          </c:marker>
          <c:cat>
            <c:numRef>
              <c:f>Prices!$C$102:$C$236</c:f>
              <c:numCache>
                <c:formatCode>d/mm/yy</c:formatCode>
                <c:ptCount val="135"/>
                <c:pt idx="0">
                  <c:v>39969</c:v>
                </c:pt>
                <c:pt idx="1">
                  <c:v>39976</c:v>
                </c:pt>
                <c:pt idx="2">
                  <c:v>39983</c:v>
                </c:pt>
                <c:pt idx="3">
                  <c:v>39990</c:v>
                </c:pt>
                <c:pt idx="4">
                  <c:v>39997</c:v>
                </c:pt>
                <c:pt idx="5">
                  <c:v>40004</c:v>
                </c:pt>
                <c:pt idx="6">
                  <c:v>40011</c:v>
                </c:pt>
                <c:pt idx="7">
                  <c:v>40018</c:v>
                </c:pt>
                <c:pt idx="8">
                  <c:v>40025</c:v>
                </c:pt>
                <c:pt idx="9">
                  <c:v>40032</c:v>
                </c:pt>
                <c:pt idx="10">
                  <c:v>40039</c:v>
                </c:pt>
                <c:pt idx="11">
                  <c:v>40046</c:v>
                </c:pt>
                <c:pt idx="12">
                  <c:v>40053</c:v>
                </c:pt>
                <c:pt idx="13">
                  <c:v>40060</c:v>
                </c:pt>
                <c:pt idx="14">
                  <c:v>40067</c:v>
                </c:pt>
                <c:pt idx="15">
                  <c:v>40074</c:v>
                </c:pt>
                <c:pt idx="16">
                  <c:v>40081</c:v>
                </c:pt>
                <c:pt idx="17">
                  <c:v>40088</c:v>
                </c:pt>
                <c:pt idx="18">
                  <c:v>40095</c:v>
                </c:pt>
                <c:pt idx="19">
                  <c:v>40102</c:v>
                </c:pt>
                <c:pt idx="20">
                  <c:v>40109</c:v>
                </c:pt>
                <c:pt idx="21">
                  <c:v>40116</c:v>
                </c:pt>
                <c:pt idx="22">
                  <c:v>40123</c:v>
                </c:pt>
                <c:pt idx="23">
                  <c:v>40130</c:v>
                </c:pt>
                <c:pt idx="24">
                  <c:v>40137</c:v>
                </c:pt>
                <c:pt idx="25">
                  <c:v>40144</c:v>
                </c:pt>
                <c:pt idx="26">
                  <c:v>40151</c:v>
                </c:pt>
                <c:pt idx="27">
                  <c:v>40158</c:v>
                </c:pt>
                <c:pt idx="28">
                  <c:v>40193</c:v>
                </c:pt>
                <c:pt idx="29">
                  <c:v>40200</c:v>
                </c:pt>
                <c:pt idx="30">
                  <c:v>40207</c:v>
                </c:pt>
                <c:pt idx="31">
                  <c:v>40214</c:v>
                </c:pt>
                <c:pt idx="32">
                  <c:v>40235</c:v>
                </c:pt>
                <c:pt idx="33">
                  <c:v>40242</c:v>
                </c:pt>
                <c:pt idx="34">
                  <c:v>40249</c:v>
                </c:pt>
                <c:pt idx="35">
                  <c:v>40256</c:v>
                </c:pt>
                <c:pt idx="36">
                  <c:v>40263</c:v>
                </c:pt>
                <c:pt idx="37">
                  <c:v>40270</c:v>
                </c:pt>
                <c:pt idx="38">
                  <c:v>40277</c:v>
                </c:pt>
                <c:pt idx="39">
                  <c:v>40291</c:v>
                </c:pt>
                <c:pt idx="40">
                  <c:v>40298</c:v>
                </c:pt>
                <c:pt idx="41">
                  <c:v>40305</c:v>
                </c:pt>
                <c:pt idx="42">
                  <c:v>40312</c:v>
                </c:pt>
                <c:pt idx="43">
                  <c:v>40319</c:v>
                </c:pt>
                <c:pt idx="44">
                  <c:v>40326</c:v>
                </c:pt>
                <c:pt idx="45">
                  <c:v>40333</c:v>
                </c:pt>
                <c:pt idx="46">
                  <c:v>40340</c:v>
                </c:pt>
                <c:pt idx="47">
                  <c:v>40347</c:v>
                </c:pt>
                <c:pt idx="48">
                  <c:v>40354</c:v>
                </c:pt>
                <c:pt idx="49">
                  <c:v>40361</c:v>
                </c:pt>
                <c:pt idx="50">
                  <c:v>40375</c:v>
                </c:pt>
                <c:pt idx="51">
                  <c:v>40382</c:v>
                </c:pt>
                <c:pt idx="52">
                  <c:v>40389</c:v>
                </c:pt>
                <c:pt idx="53">
                  <c:v>40396</c:v>
                </c:pt>
                <c:pt idx="54">
                  <c:v>40403</c:v>
                </c:pt>
                <c:pt idx="55">
                  <c:v>40410</c:v>
                </c:pt>
                <c:pt idx="56">
                  <c:v>40417</c:v>
                </c:pt>
                <c:pt idx="57">
                  <c:v>40424</c:v>
                </c:pt>
                <c:pt idx="58">
                  <c:v>40431</c:v>
                </c:pt>
                <c:pt idx="59">
                  <c:v>40438</c:v>
                </c:pt>
                <c:pt idx="60">
                  <c:v>40452</c:v>
                </c:pt>
                <c:pt idx="61">
                  <c:v>40459</c:v>
                </c:pt>
                <c:pt idx="62">
                  <c:v>40466</c:v>
                </c:pt>
                <c:pt idx="63">
                  <c:v>40473</c:v>
                </c:pt>
                <c:pt idx="64">
                  <c:v>40480</c:v>
                </c:pt>
                <c:pt idx="65">
                  <c:v>40487</c:v>
                </c:pt>
                <c:pt idx="66">
                  <c:v>40494</c:v>
                </c:pt>
                <c:pt idx="67">
                  <c:v>40501</c:v>
                </c:pt>
                <c:pt idx="68">
                  <c:v>40508</c:v>
                </c:pt>
                <c:pt idx="69">
                  <c:v>40515</c:v>
                </c:pt>
                <c:pt idx="70">
                  <c:v>40522</c:v>
                </c:pt>
                <c:pt idx="71">
                  <c:v>40571</c:v>
                </c:pt>
                <c:pt idx="72">
                  <c:v>40578</c:v>
                </c:pt>
                <c:pt idx="73">
                  <c:v>40585</c:v>
                </c:pt>
                <c:pt idx="74">
                  <c:v>40592</c:v>
                </c:pt>
                <c:pt idx="75">
                  <c:v>40599</c:v>
                </c:pt>
                <c:pt idx="76">
                  <c:v>40606</c:v>
                </c:pt>
                <c:pt idx="77">
                  <c:v>40613</c:v>
                </c:pt>
                <c:pt idx="78">
                  <c:v>40620</c:v>
                </c:pt>
                <c:pt idx="79">
                  <c:v>40627</c:v>
                </c:pt>
                <c:pt idx="80">
                  <c:v>40641</c:v>
                </c:pt>
                <c:pt idx="81">
                  <c:v>40662</c:v>
                </c:pt>
                <c:pt idx="82">
                  <c:v>40669</c:v>
                </c:pt>
                <c:pt idx="83">
                  <c:v>40676</c:v>
                </c:pt>
                <c:pt idx="84">
                  <c:v>40683</c:v>
                </c:pt>
                <c:pt idx="85">
                  <c:v>40697</c:v>
                </c:pt>
                <c:pt idx="86">
                  <c:v>40704</c:v>
                </c:pt>
                <c:pt idx="87">
                  <c:v>40711</c:v>
                </c:pt>
                <c:pt idx="88">
                  <c:v>40718</c:v>
                </c:pt>
                <c:pt idx="89">
                  <c:v>40725</c:v>
                </c:pt>
                <c:pt idx="90">
                  <c:v>40732</c:v>
                </c:pt>
                <c:pt idx="91">
                  <c:v>40739</c:v>
                </c:pt>
                <c:pt idx="92">
                  <c:v>40746</c:v>
                </c:pt>
                <c:pt idx="93">
                  <c:v>40753</c:v>
                </c:pt>
                <c:pt idx="94">
                  <c:v>40760</c:v>
                </c:pt>
                <c:pt idx="95">
                  <c:v>40767</c:v>
                </c:pt>
                <c:pt idx="96">
                  <c:v>40774</c:v>
                </c:pt>
                <c:pt idx="97">
                  <c:v>40781</c:v>
                </c:pt>
                <c:pt idx="98">
                  <c:v>40788</c:v>
                </c:pt>
                <c:pt idx="99">
                  <c:v>40795</c:v>
                </c:pt>
                <c:pt idx="100">
                  <c:v>40802</c:v>
                </c:pt>
                <c:pt idx="101">
                  <c:v>40809</c:v>
                </c:pt>
                <c:pt idx="102">
                  <c:v>40816</c:v>
                </c:pt>
                <c:pt idx="103">
                  <c:v>40823</c:v>
                </c:pt>
                <c:pt idx="104">
                  <c:v>40830</c:v>
                </c:pt>
                <c:pt idx="105">
                  <c:v>40837</c:v>
                </c:pt>
                <c:pt idx="106">
                  <c:v>40844</c:v>
                </c:pt>
                <c:pt idx="107">
                  <c:v>40851</c:v>
                </c:pt>
                <c:pt idx="108">
                  <c:v>40858</c:v>
                </c:pt>
                <c:pt idx="109">
                  <c:v>40865</c:v>
                </c:pt>
                <c:pt idx="110">
                  <c:v>40872</c:v>
                </c:pt>
                <c:pt idx="111">
                  <c:v>40879</c:v>
                </c:pt>
                <c:pt idx="112">
                  <c:v>40886</c:v>
                </c:pt>
                <c:pt idx="113">
                  <c:v>40893</c:v>
                </c:pt>
                <c:pt idx="114">
                  <c:v>40921</c:v>
                </c:pt>
                <c:pt idx="115">
                  <c:v>40928</c:v>
                </c:pt>
                <c:pt idx="116">
                  <c:v>40956</c:v>
                </c:pt>
                <c:pt idx="117">
                  <c:v>40963</c:v>
                </c:pt>
                <c:pt idx="118">
                  <c:v>40970</c:v>
                </c:pt>
                <c:pt idx="119">
                  <c:v>40977</c:v>
                </c:pt>
                <c:pt idx="120">
                  <c:v>40984</c:v>
                </c:pt>
                <c:pt idx="121">
                  <c:v>40991</c:v>
                </c:pt>
                <c:pt idx="122">
                  <c:v>40998</c:v>
                </c:pt>
                <c:pt idx="123">
                  <c:v>41012</c:v>
                </c:pt>
                <c:pt idx="124">
                  <c:v>41019</c:v>
                </c:pt>
                <c:pt idx="125">
                  <c:v>41026</c:v>
                </c:pt>
                <c:pt idx="126">
                  <c:v>41033</c:v>
                </c:pt>
                <c:pt idx="127">
                  <c:v>41040</c:v>
                </c:pt>
                <c:pt idx="128">
                  <c:v>41047</c:v>
                </c:pt>
                <c:pt idx="129">
                  <c:v>41054</c:v>
                </c:pt>
                <c:pt idx="130">
                  <c:v>41061</c:v>
                </c:pt>
                <c:pt idx="131">
                  <c:v>41068</c:v>
                </c:pt>
                <c:pt idx="132">
                  <c:v>41075</c:v>
                </c:pt>
                <c:pt idx="133">
                  <c:v>41082</c:v>
                </c:pt>
                <c:pt idx="134">
                  <c:v>41089</c:v>
                </c:pt>
              </c:numCache>
            </c:numRef>
          </c:cat>
          <c:val>
            <c:numRef>
              <c:f>Prices!$E$102:$E$236</c:f>
              <c:numCache>
                <c:formatCode>#,##0</c:formatCode>
                <c:ptCount val="135"/>
                <c:pt idx="0">
                  <c:v>150</c:v>
                </c:pt>
                <c:pt idx="1">
                  <c:v>150</c:v>
                </c:pt>
                <c:pt idx="2">
                  <c:v>162</c:v>
                </c:pt>
                <c:pt idx="3">
                  <c:v>153</c:v>
                </c:pt>
                <c:pt idx="4">
                  <c:v>151</c:v>
                </c:pt>
                <c:pt idx="5">
                  <c:v>153</c:v>
                </c:pt>
                <c:pt idx="6">
                  <c:v>154</c:v>
                </c:pt>
                <c:pt idx="7">
                  <c:v>158</c:v>
                </c:pt>
                <c:pt idx="8">
                  <c:v>162</c:v>
                </c:pt>
                <c:pt idx="9">
                  <c:v>150</c:v>
                </c:pt>
                <c:pt idx="10">
                  <c:v>139</c:v>
                </c:pt>
                <c:pt idx="11">
                  <c:v>153</c:v>
                </c:pt>
                <c:pt idx="12">
                  <c:v>148</c:v>
                </c:pt>
                <c:pt idx="13">
                  <c:v>155</c:v>
                </c:pt>
                <c:pt idx="14">
                  <c:v>147</c:v>
                </c:pt>
                <c:pt idx="15">
                  <c:v>144</c:v>
                </c:pt>
                <c:pt idx="16">
                  <c:v>140</c:v>
                </c:pt>
                <c:pt idx="17">
                  <c:v>145</c:v>
                </c:pt>
                <c:pt idx="18">
                  <c:v>145</c:v>
                </c:pt>
                <c:pt idx="19">
                  <c:v>134</c:v>
                </c:pt>
                <c:pt idx="20">
                  <c:v>144</c:v>
                </c:pt>
                <c:pt idx="21">
                  <c:v>144</c:v>
                </c:pt>
                <c:pt idx="22">
                  <c:v>148</c:v>
                </c:pt>
                <c:pt idx="23">
                  <c:v>161</c:v>
                </c:pt>
                <c:pt idx="24">
                  <c:v>156</c:v>
                </c:pt>
                <c:pt idx="25">
                  <c:v>142</c:v>
                </c:pt>
                <c:pt idx="26">
                  <c:v>139</c:v>
                </c:pt>
                <c:pt idx="27">
                  <c:v>139</c:v>
                </c:pt>
                <c:pt idx="28">
                  <c:v>147</c:v>
                </c:pt>
                <c:pt idx="29">
                  <c:v>153</c:v>
                </c:pt>
                <c:pt idx="30">
                  <c:v>156</c:v>
                </c:pt>
                <c:pt idx="31">
                  <c:v>155</c:v>
                </c:pt>
                <c:pt idx="32">
                  <c:v>174</c:v>
                </c:pt>
                <c:pt idx="33">
                  <c:v>170</c:v>
                </c:pt>
                <c:pt idx="34">
                  <c:v>172</c:v>
                </c:pt>
                <c:pt idx="35">
                  <c:v>168</c:v>
                </c:pt>
                <c:pt idx="36">
                  <c:v>176</c:v>
                </c:pt>
                <c:pt idx="37">
                  <c:v>169</c:v>
                </c:pt>
                <c:pt idx="38">
                  <c:v>166</c:v>
                </c:pt>
                <c:pt idx="39">
                  <c:v>168</c:v>
                </c:pt>
                <c:pt idx="40">
                  <c:v>164</c:v>
                </c:pt>
                <c:pt idx="41">
                  <c:v>166</c:v>
                </c:pt>
                <c:pt idx="42">
                  <c:v>162</c:v>
                </c:pt>
                <c:pt idx="43">
                  <c:v>158</c:v>
                </c:pt>
                <c:pt idx="44">
                  <c:v>155</c:v>
                </c:pt>
                <c:pt idx="45">
                  <c:v>159</c:v>
                </c:pt>
                <c:pt idx="46">
                  <c:v>160</c:v>
                </c:pt>
                <c:pt idx="47">
                  <c:v>162</c:v>
                </c:pt>
                <c:pt idx="48">
                  <c:v>162</c:v>
                </c:pt>
                <c:pt idx="49">
                  <c:v>154</c:v>
                </c:pt>
                <c:pt idx="50">
                  <c:v>162</c:v>
                </c:pt>
                <c:pt idx="51">
                  <c:v>169</c:v>
                </c:pt>
                <c:pt idx="52">
                  <c:v>161</c:v>
                </c:pt>
                <c:pt idx="53">
                  <c:v>170</c:v>
                </c:pt>
                <c:pt idx="54">
                  <c:v>169</c:v>
                </c:pt>
                <c:pt idx="55">
                  <c:v>165</c:v>
                </c:pt>
                <c:pt idx="56">
                  <c:v>168</c:v>
                </c:pt>
                <c:pt idx="57">
                  <c:v>165</c:v>
                </c:pt>
                <c:pt idx="58">
                  <c:v>171</c:v>
                </c:pt>
                <c:pt idx="59">
                  <c:v>185</c:v>
                </c:pt>
                <c:pt idx="60">
                  <c:v>182</c:v>
                </c:pt>
                <c:pt idx="61">
                  <c:v>166</c:v>
                </c:pt>
                <c:pt idx="62">
                  <c:v>170</c:v>
                </c:pt>
                <c:pt idx="63">
                  <c:v>174</c:v>
                </c:pt>
                <c:pt idx="64">
                  <c:v>168</c:v>
                </c:pt>
                <c:pt idx="65">
                  <c:v>176</c:v>
                </c:pt>
                <c:pt idx="66">
                  <c:v>170</c:v>
                </c:pt>
                <c:pt idx="67">
                  <c:v>178</c:v>
                </c:pt>
                <c:pt idx="68">
                  <c:v>181</c:v>
                </c:pt>
                <c:pt idx="69">
                  <c:v>175</c:v>
                </c:pt>
                <c:pt idx="70">
                  <c:v>186</c:v>
                </c:pt>
                <c:pt idx="71">
                  <c:v>183</c:v>
                </c:pt>
                <c:pt idx="72">
                  <c:v>185</c:v>
                </c:pt>
                <c:pt idx="73">
                  <c:v>183</c:v>
                </c:pt>
                <c:pt idx="74">
                  <c:v>184</c:v>
                </c:pt>
                <c:pt idx="75">
                  <c:v>183</c:v>
                </c:pt>
                <c:pt idx="76">
                  <c:v>185</c:v>
                </c:pt>
                <c:pt idx="77">
                  <c:v>194</c:v>
                </c:pt>
                <c:pt idx="78">
                  <c:v>185</c:v>
                </c:pt>
                <c:pt idx="79">
                  <c:v>198</c:v>
                </c:pt>
                <c:pt idx="80">
                  <c:v>200.4</c:v>
                </c:pt>
                <c:pt idx="81">
                  <c:v>197</c:v>
                </c:pt>
                <c:pt idx="82">
                  <c:v>175</c:v>
                </c:pt>
                <c:pt idx="83">
                  <c:v>176</c:v>
                </c:pt>
                <c:pt idx="84">
                  <c:v>172.1</c:v>
                </c:pt>
                <c:pt idx="85">
                  <c:v>184.8</c:v>
                </c:pt>
                <c:pt idx="86">
                  <c:v>166</c:v>
                </c:pt>
                <c:pt idx="87">
                  <c:v>169</c:v>
                </c:pt>
                <c:pt idx="88">
                  <c:v>166</c:v>
                </c:pt>
                <c:pt idx="89">
                  <c:v>166</c:v>
                </c:pt>
                <c:pt idx="90">
                  <c:v>168</c:v>
                </c:pt>
                <c:pt idx="91">
                  <c:v>173</c:v>
                </c:pt>
                <c:pt idx="92">
                  <c:v>164</c:v>
                </c:pt>
                <c:pt idx="93">
                  <c:v>170</c:v>
                </c:pt>
                <c:pt idx="94">
                  <c:v>165</c:v>
                </c:pt>
                <c:pt idx="95">
                  <c:v>162.5</c:v>
                </c:pt>
                <c:pt idx="96">
                  <c:v>172</c:v>
                </c:pt>
                <c:pt idx="97">
                  <c:v>174</c:v>
                </c:pt>
                <c:pt idx="98">
                  <c:v>185</c:v>
                </c:pt>
                <c:pt idx="99">
                  <c:v>164</c:v>
                </c:pt>
                <c:pt idx="100">
                  <c:v>177</c:v>
                </c:pt>
                <c:pt idx="101">
                  <c:v>184</c:v>
                </c:pt>
                <c:pt idx="102">
                  <c:v>183</c:v>
                </c:pt>
                <c:pt idx="103">
                  <c:v>177</c:v>
                </c:pt>
                <c:pt idx="104">
                  <c:v>175</c:v>
                </c:pt>
                <c:pt idx="105">
                  <c:v>184</c:v>
                </c:pt>
                <c:pt idx="106">
                  <c:v>181</c:v>
                </c:pt>
                <c:pt idx="107">
                  <c:v>175</c:v>
                </c:pt>
                <c:pt idx="108">
                  <c:v>162</c:v>
                </c:pt>
                <c:pt idx="109">
                  <c:v>188</c:v>
                </c:pt>
                <c:pt idx="110">
                  <c:v>177</c:v>
                </c:pt>
                <c:pt idx="111">
                  <c:v>173</c:v>
                </c:pt>
                <c:pt idx="112">
                  <c:v>189</c:v>
                </c:pt>
                <c:pt idx="113">
                  <c:v>200</c:v>
                </c:pt>
                <c:pt idx="114">
                  <c:v>192</c:v>
                </c:pt>
                <c:pt idx="115">
                  <c:v>169</c:v>
                </c:pt>
                <c:pt idx="116">
                  <c:v>185</c:v>
                </c:pt>
                <c:pt idx="117">
                  <c:v>186</c:v>
                </c:pt>
                <c:pt idx="118">
                  <c:v>179</c:v>
                </c:pt>
                <c:pt idx="119">
                  <c:v>172</c:v>
                </c:pt>
                <c:pt idx="120">
                  <c:v>193</c:v>
                </c:pt>
                <c:pt idx="122">
                  <c:v>181</c:v>
                </c:pt>
                <c:pt idx="123">
                  <c:v>185</c:v>
                </c:pt>
                <c:pt idx="124">
                  <c:v>172</c:v>
                </c:pt>
                <c:pt idx="125">
                  <c:v>173</c:v>
                </c:pt>
                <c:pt idx="126">
                  <c:v>176</c:v>
                </c:pt>
                <c:pt idx="127">
                  <c:v>175</c:v>
                </c:pt>
                <c:pt idx="128">
                  <c:v>181</c:v>
                </c:pt>
                <c:pt idx="129">
                  <c:v>174</c:v>
                </c:pt>
                <c:pt idx="130">
                  <c:v>180</c:v>
                </c:pt>
                <c:pt idx="131">
                  <c:v>178</c:v>
                </c:pt>
                <c:pt idx="133">
                  <c:v>167</c:v>
                </c:pt>
                <c:pt idx="134">
                  <c:v>158</c:v>
                </c:pt>
              </c:numCache>
            </c:numRef>
          </c:val>
          <c:smooth val="0"/>
          <c:extLst>
            <c:ext xmlns:c16="http://schemas.microsoft.com/office/drawing/2014/chart" uri="{C3380CC4-5D6E-409C-BE32-E72D297353CC}">
              <c16:uniqueId val="{00000000-8FA6-44B7-A438-5B7FA47191FE}"/>
            </c:ext>
          </c:extLst>
        </c:ser>
        <c:ser>
          <c:idx val="3"/>
          <c:order val="1"/>
          <c:tx>
            <c:strRef>
              <c:f>Prices!$G$101</c:f>
              <c:strCache>
                <c:ptCount val="1"/>
                <c:pt idx="0">
                  <c:v>Grass Fed Jap Ox Dinmore c/kg live equivalent</c:v>
                </c:pt>
              </c:strCache>
            </c:strRef>
          </c:tx>
          <c:spPr>
            <a:ln w="12700">
              <a:solidFill>
                <a:srgbClr val="00FFFF"/>
              </a:solidFill>
              <a:prstDash val="solid"/>
            </a:ln>
          </c:spPr>
          <c:marker>
            <c:symbol val="x"/>
            <c:size val="5"/>
            <c:spPr>
              <a:noFill/>
              <a:ln>
                <a:solidFill>
                  <a:srgbClr val="00FFFF"/>
                </a:solidFill>
                <a:prstDash val="solid"/>
              </a:ln>
            </c:spPr>
          </c:marker>
          <c:cat>
            <c:numRef>
              <c:f>Prices!$C$102:$C$236</c:f>
              <c:numCache>
                <c:formatCode>d/mm/yy</c:formatCode>
                <c:ptCount val="135"/>
                <c:pt idx="0">
                  <c:v>39969</c:v>
                </c:pt>
                <c:pt idx="1">
                  <c:v>39976</c:v>
                </c:pt>
                <c:pt idx="2">
                  <c:v>39983</c:v>
                </c:pt>
                <c:pt idx="3">
                  <c:v>39990</c:v>
                </c:pt>
                <c:pt idx="4">
                  <c:v>39997</c:v>
                </c:pt>
                <c:pt idx="5">
                  <c:v>40004</c:v>
                </c:pt>
                <c:pt idx="6">
                  <c:v>40011</c:v>
                </c:pt>
                <c:pt idx="7">
                  <c:v>40018</c:v>
                </c:pt>
                <c:pt idx="8">
                  <c:v>40025</c:v>
                </c:pt>
                <c:pt idx="9">
                  <c:v>40032</c:v>
                </c:pt>
                <c:pt idx="10">
                  <c:v>40039</c:v>
                </c:pt>
                <c:pt idx="11">
                  <c:v>40046</c:v>
                </c:pt>
                <c:pt idx="12">
                  <c:v>40053</c:v>
                </c:pt>
                <c:pt idx="13">
                  <c:v>40060</c:v>
                </c:pt>
                <c:pt idx="14">
                  <c:v>40067</c:v>
                </c:pt>
                <c:pt idx="15">
                  <c:v>40074</c:v>
                </c:pt>
                <c:pt idx="16">
                  <c:v>40081</c:v>
                </c:pt>
                <c:pt idx="17">
                  <c:v>40088</c:v>
                </c:pt>
                <c:pt idx="18">
                  <c:v>40095</c:v>
                </c:pt>
                <c:pt idx="19">
                  <c:v>40102</c:v>
                </c:pt>
                <c:pt idx="20">
                  <c:v>40109</c:v>
                </c:pt>
                <c:pt idx="21">
                  <c:v>40116</c:v>
                </c:pt>
                <c:pt idx="22">
                  <c:v>40123</c:v>
                </c:pt>
                <c:pt idx="23">
                  <c:v>40130</c:v>
                </c:pt>
                <c:pt idx="24">
                  <c:v>40137</c:v>
                </c:pt>
                <c:pt idx="25">
                  <c:v>40144</c:v>
                </c:pt>
                <c:pt idx="26">
                  <c:v>40151</c:v>
                </c:pt>
                <c:pt idx="27">
                  <c:v>40158</c:v>
                </c:pt>
                <c:pt idx="28">
                  <c:v>40193</c:v>
                </c:pt>
                <c:pt idx="29">
                  <c:v>40200</c:v>
                </c:pt>
                <c:pt idx="30">
                  <c:v>40207</c:v>
                </c:pt>
                <c:pt idx="31">
                  <c:v>40214</c:v>
                </c:pt>
                <c:pt idx="32">
                  <c:v>40235</c:v>
                </c:pt>
                <c:pt idx="33">
                  <c:v>40242</c:v>
                </c:pt>
                <c:pt idx="34">
                  <c:v>40249</c:v>
                </c:pt>
                <c:pt idx="35">
                  <c:v>40256</c:v>
                </c:pt>
                <c:pt idx="36">
                  <c:v>40263</c:v>
                </c:pt>
                <c:pt idx="37">
                  <c:v>40270</c:v>
                </c:pt>
                <c:pt idx="38">
                  <c:v>40277</c:v>
                </c:pt>
                <c:pt idx="39">
                  <c:v>40291</c:v>
                </c:pt>
                <c:pt idx="40">
                  <c:v>40298</c:v>
                </c:pt>
                <c:pt idx="41">
                  <c:v>40305</c:v>
                </c:pt>
                <c:pt idx="42">
                  <c:v>40312</c:v>
                </c:pt>
                <c:pt idx="43">
                  <c:v>40319</c:v>
                </c:pt>
                <c:pt idx="44">
                  <c:v>40326</c:v>
                </c:pt>
                <c:pt idx="45">
                  <c:v>40333</c:v>
                </c:pt>
                <c:pt idx="46">
                  <c:v>40340</c:v>
                </c:pt>
                <c:pt idx="47">
                  <c:v>40347</c:v>
                </c:pt>
                <c:pt idx="48">
                  <c:v>40354</c:v>
                </c:pt>
                <c:pt idx="49">
                  <c:v>40361</c:v>
                </c:pt>
                <c:pt idx="50">
                  <c:v>40375</c:v>
                </c:pt>
                <c:pt idx="51">
                  <c:v>40382</c:v>
                </c:pt>
                <c:pt idx="52">
                  <c:v>40389</c:v>
                </c:pt>
                <c:pt idx="53">
                  <c:v>40396</c:v>
                </c:pt>
                <c:pt idx="54">
                  <c:v>40403</c:v>
                </c:pt>
                <c:pt idx="55">
                  <c:v>40410</c:v>
                </c:pt>
                <c:pt idx="56">
                  <c:v>40417</c:v>
                </c:pt>
                <c:pt idx="57">
                  <c:v>40424</c:v>
                </c:pt>
                <c:pt idx="58">
                  <c:v>40431</c:v>
                </c:pt>
                <c:pt idx="59">
                  <c:v>40438</c:v>
                </c:pt>
                <c:pt idx="60">
                  <c:v>40452</c:v>
                </c:pt>
                <c:pt idx="61">
                  <c:v>40459</c:v>
                </c:pt>
                <c:pt idx="62">
                  <c:v>40466</c:v>
                </c:pt>
                <c:pt idx="63">
                  <c:v>40473</c:v>
                </c:pt>
                <c:pt idx="64">
                  <c:v>40480</c:v>
                </c:pt>
                <c:pt idx="65">
                  <c:v>40487</c:v>
                </c:pt>
                <c:pt idx="66">
                  <c:v>40494</c:v>
                </c:pt>
                <c:pt idx="67">
                  <c:v>40501</c:v>
                </c:pt>
                <c:pt idx="68">
                  <c:v>40508</c:v>
                </c:pt>
                <c:pt idx="69">
                  <c:v>40515</c:v>
                </c:pt>
                <c:pt idx="70">
                  <c:v>40522</c:v>
                </c:pt>
                <c:pt idx="71">
                  <c:v>40571</c:v>
                </c:pt>
                <c:pt idx="72">
                  <c:v>40578</c:v>
                </c:pt>
                <c:pt idx="73">
                  <c:v>40585</c:v>
                </c:pt>
                <c:pt idx="74">
                  <c:v>40592</c:v>
                </c:pt>
                <c:pt idx="75">
                  <c:v>40599</c:v>
                </c:pt>
                <c:pt idx="76">
                  <c:v>40606</c:v>
                </c:pt>
                <c:pt idx="77">
                  <c:v>40613</c:v>
                </c:pt>
                <c:pt idx="78">
                  <c:v>40620</c:v>
                </c:pt>
                <c:pt idx="79">
                  <c:v>40627</c:v>
                </c:pt>
                <c:pt idx="80">
                  <c:v>40641</c:v>
                </c:pt>
                <c:pt idx="81">
                  <c:v>40662</c:v>
                </c:pt>
                <c:pt idx="82">
                  <c:v>40669</c:v>
                </c:pt>
                <c:pt idx="83">
                  <c:v>40676</c:v>
                </c:pt>
                <c:pt idx="84">
                  <c:v>40683</c:v>
                </c:pt>
                <c:pt idx="85">
                  <c:v>40697</c:v>
                </c:pt>
                <c:pt idx="86">
                  <c:v>40704</c:v>
                </c:pt>
                <c:pt idx="87">
                  <c:v>40711</c:v>
                </c:pt>
                <c:pt idx="88">
                  <c:v>40718</c:v>
                </c:pt>
                <c:pt idx="89">
                  <c:v>40725</c:v>
                </c:pt>
                <c:pt idx="90">
                  <c:v>40732</c:v>
                </c:pt>
                <c:pt idx="91">
                  <c:v>40739</c:v>
                </c:pt>
                <c:pt idx="92">
                  <c:v>40746</c:v>
                </c:pt>
                <c:pt idx="93">
                  <c:v>40753</c:v>
                </c:pt>
                <c:pt idx="94">
                  <c:v>40760</c:v>
                </c:pt>
                <c:pt idx="95">
                  <c:v>40767</c:v>
                </c:pt>
                <c:pt idx="96">
                  <c:v>40774</c:v>
                </c:pt>
                <c:pt idx="97">
                  <c:v>40781</c:v>
                </c:pt>
                <c:pt idx="98">
                  <c:v>40788</c:v>
                </c:pt>
                <c:pt idx="99">
                  <c:v>40795</c:v>
                </c:pt>
                <c:pt idx="100">
                  <c:v>40802</c:v>
                </c:pt>
                <c:pt idx="101">
                  <c:v>40809</c:v>
                </c:pt>
                <c:pt idx="102">
                  <c:v>40816</c:v>
                </c:pt>
                <c:pt idx="103">
                  <c:v>40823</c:v>
                </c:pt>
                <c:pt idx="104">
                  <c:v>40830</c:v>
                </c:pt>
                <c:pt idx="105">
                  <c:v>40837</c:v>
                </c:pt>
                <c:pt idx="106">
                  <c:v>40844</c:v>
                </c:pt>
                <c:pt idx="107">
                  <c:v>40851</c:v>
                </c:pt>
                <c:pt idx="108">
                  <c:v>40858</c:v>
                </c:pt>
                <c:pt idx="109">
                  <c:v>40865</c:v>
                </c:pt>
                <c:pt idx="110">
                  <c:v>40872</c:v>
                </c:pt>
                <c:pt idx="111">
                  <c:v>40879</c:v>
                </c:pt>
                <c:pt idx="112">
                  <c:v>40886</c:v>
                </c:pt>
                <c:pt idx="113">
                  <c:v>40893</c:v>
                </c:pt>
                <c:pt idx="114">
                  <c:v>40921</c:v>
                </c:pt>
                <c:pt idx="115">
                  <c:v>40928</c:v>
                </c:pt>
                <c:pt idx="116">
                  <c:v>40956</c:v>
                </c:pt>
                <c:pt idx="117">
                  <c:v>40963</c:v>
                </c:pt>
                <c:pt idx="118">
                  <c:v>40970</c:v>
                </c:pt>
                <c:pt idx="119">
                  <c:v>40977</c:v>
                </c:pt>
                <c:pt idx="120">
                  <c:v>40984</c:v>
                </c:pt>
                <c:pt idx="121">
                  <c:v>40991</c:v>
                </c:pt>
                <c:pt idx="122">
                  <c:v>40998</c:v>
                </c:pt>
                <c:pt idx="123">
                  <c:v>41012</c:v>
                </c:pt>
                <c:pt idx="124">
                  <c:v>41019</c:v>
                </c:pt>
                <c:pt idx="125">
                  <c:v>41026</c:v>
                </c:pt>
                <c:pt idx="126">
                  <c:v>41033</c:v>
                </c:pt>
                <c:pt idx="127">
                  <c:v>41040</c:v>
                </c:pt>
                <c:pt idx="128">
                  <c:v>41047</c:v>
                </c:pt>
                <c:pt idx="129">
                  <c:v>41054</c:v>
                </c:pt>
                <c:pt idx="130">
                  <c:v>41061</c:v>
                </c:pt>
                <c:pt idx="131">
                  <c:v>41068</c:v>
                </c:pt>
                <c:pt idx="132">
                  <c:v>41075</c:v>
                </c:pt>
                <c:pt idx="133">
                  <c:v>41082</c:v>
                </c:pt>
                <c:pt idx="134">
                  <c:v>41089</c:v>
                </c:pt>
              </c:numCache>
            </c:numRef>
          </c:cat>
          <c:val>
            <c:numRef>
              <c:f>Prices!$G$102:$G$236</c:f>
              <c:numCache>
                <c:formatCode>General</c:formatCode>
                <c:ptCount val="135"/>
                <c:pt idx="19">
                  <c:v>148.20000000000002</c:v>
                </c:pt>
                <c:pt idx="28">
                  <c:v>150.80000000000001</c:v>
                </c:pt>
                <c:pt idx="29">
                  <c:v>157.04</c:v>
                </c:pt>
                <c:pt idx="30">
                  <c:v>157.04</c:v>
                </c:pt>
                <c:pt idx="31">
                  <c:v>159.64000000000001</c:v>
                </c:pt>
                <c:pt idx="35">
                  <c:v>169</c:v>
                </c:pt>
                <c:pt idx="36">
                  <c:v>163.80000000000001</c:v>
                </c:pt>
                <c:pt idx="37">
                  <c:v>161.20000000000002</c:v>
                </c:pt>
                <c:pt idx="38">
                  <c:v>166.4</c:v>
                </c:pt>
                <c:pt idx="39">
                  <c:v>166.4</c:v>
                </c:pt>
                <c:pt idx="40">
                  <c:v>163.80000000000001</c:v>
                </c:pt>
                <c:pt idx="41">
                  <c:v>161.20000000000002</c:v>
                </c:pt>
                <c:pt idx="42">
                  <c:v>163.80000000000001</c:v>
                </c:pt>
                <c:pt idx="43">
                  <c:v>163.80000000000001</c:v>
                </c:pt>
                <c:pt idx="44">
                  <c:v>163.80000000000001</c:v>
                </c:pt>
                <c:pt idx="45">
                  <c:v>169</c:v>
                </c:pt>
                <c:pt idx="46">
                  <c:v>166.4</c:v>
                </c:pt>
                <c:pt idx="47">
                  <c:v>163.80000000000001</c:v>
                </c:pt>
                <c:pt idx="49">
                  <c:v>163.80000000000001</c:v>
                </c:pt>
                <c:pt idx="54">
                  <c:v>166.4</c:v>
                </c:pt>
                <c:pt idx="57">
                  <c:v>169</c:v>
                </c:pt>
                <c:pt idx="58">
                  <c:v>169</c:v>
                </c:pt>
                <c:pt idx="59">
                  <c:v>169</c:v>
                </c:pt>
                <c:pt idx="61">
                  <c:v>169</c:v>
                </c:pt>
                <c:pt idx="63">
                  <c:v>166.4</c:v>
                </c:pt>
                <c:pt idx="65">
                  <c:v>163.80000000000001</c:v>
                </c:pt>
                <c:pt idx="69">
                  <c:v>169</c:v>
                </c:pt>
                <c:pt idx="70">
                  <c:v>169</c:v>
                </c:pt>
                <c:pt idx="71">
                  <c:v>169</c:v>
                </c:pt>
                <c:pt idx="72">
                  <c:v>174.20000000000002</c:v>
                </c:pt>
                <c:pt idx="73">
                  <c:v>179.4</c:v>
                </c:pt>
                <c:pt idx="74">
                  <c:v>179.4</c:v>
                </c:pt>
                <c:pt idx="75">
                  <c:v>174.20000000000002</c:v>
                </c:pt>
                <c:pt idx="76">
                  <c:v>174.20000000000002</c:v>
                </c:pt>
                <c:pt idx="79">
                  <c:v>182</c:v>
                </c:pt>
                <c:pt idx="80">
                  <c:v>182</c:v>
                </c:pt>
                <c:pt idx="81">
                  <c:v>169</c:v>
                </c:pt>
                <c:pt idx="82">
                  <c:v>163.80000000000001</c:v>
                </c:pt>
                <c:pt idx="83">
                  <c:v>161.20000000000002</c:v>
                </c:pt>
                <c:pt idx="84">
                  <c:v>162.24</c:v>
                </c:pt>
                <c:pt idx="85">
                  <c:v>169</c:v>
                </c:pt>
                <c:pt idx="86">
                  <c:v>163.80000000000001</c:v>
                </c:pt>
                <c:pt idx="87">
                  <c:v>156</c:v>
                </c:pt>
                <c:pt idx="88">
                  <c:v>156</c:v>
                </c:pt>
                <c:pt idx="89">
                  <c:v>156</c:v>
                </c:pt>
                <c:pt idx="90">
                  <c:v>156</c:v>
                </c:pt>
                <c:pt idx="91">
                  <c:v>156</c:v>
                </c:pt>
                <c:pt idx="92">
                  <c:v>156</c:v>
                </c:pt>
                <c:pt idx="93">
                  <c:v>161.20000000000002</c:v>
                </c:pt>
                <c:pt idx="94">
                  <c:v>161.20000000000002</c:v>
                </c:pt>
                <c:pt idx="95">
                  <c:v>163.80000000000001</c:v>
                </c:pt>
                <c:pt idx="96">
                  <c:v>163.80000000000001</c:v>
                </c:pt>
                <c:pt idx="97">
                  <c:v>166.4</c:v>
                </c:pt>
                <c:pt idx="98">
                  <c:v>170.04</c:v>
                </c:pt>
                <c:pt idx="99">
                  <c:v>174.20000000000002</c:v>
                </c:pt>
                <c:pt idx="100">
                  <c:v>174.20000000000002</c:v>
                </c:pt>
                <c:pt idx="101">
                  <c:v>179.4</c:v>
                </c:pt>
                <c:pt idx="102">
                  <c:v>183.04000000000002</c:v>
                </c:pt>
                <c:pt idx="103">
                  <c:v>184.6</c:v>
                </c:pt>
                <c:pt idx="105">
                  <c:v>184.6</c:v>
                </c:pt>
                <c:pt idx="106">
                  <c:v>182</c:v>
                </c:pt>
                <c:pt idx="107">
                  <c:v>179.4</c:v>
                </c:pt>
                <c:pt idx="108">
                  <c:v>179.4</c:v>
                </c:pt>
                <c:pt idx="109">
                  <c:v>185.64000000000001</c:v>
                </c:pt>
                <c:pt idx="110">
                  <c:v>189.8</c:v>
                </c:pt>
                <c:pt idx="111">
                  <c:v>189.8</c:v>
                </c:pt>
                <c:pt idx="112">
                  <c:v>189.8</c:v>
                </c:pt>
                <c:pt idx="113">
                  <c:v>189.8</c:v>
                </c:pt>
                <c:pt idx="114">
                  <c:v>189.8</c:v>
                </c:pt>
                <c:pt idx="115">
                  <c:v>182</c:v>
                </c:pt>
                <c:pt idx="116">
                  <c:v>171.6</c:v>
                </c:pt>
                <c:pt idx="117">
                  <c:v>171.6</c:v>
                </c:pt>
                <c:pt idx="118">
                  <c:v>174.20000000000002</c:v>
                </c:pt>
                <c:pt idx="119">
                  <c:v>176.8</c:v>
                </c:pt>
                <c:pt idx="120">
                  <c:v>174.20000000000002</c:v>
                </c:pt>
                <c:pt idx="121">
                  <c:v>176.8</c:v>
                </c:pt>
                <c:pt idx="122">
                  <c:v>171.6</c:v>
                </c:pt>
                <c:pt idx="123">
                  <c:v>163.80000000000001</c:v>
                </c:pt>
                <c:pt idx="124">
                  <c:v>161.20000000000002</c:v>
                </c:pt>
                <c:pt idx="125">
                  <c:v>161.20000000000002</c:v>
                </c:pt>
                <c:pt idx="126">
                  <c:v>163.80000000000001</c:v>
                </c:pt>
                <c:pt idx="127">
                  <c:v>163.80000000000001</c:v>
                </c:pt>
                <c:pt idx="128">
                  <c:v>166.4</c:v>
                </c:pt>
                <c:pt idx="129">
                  <c:v>163.80000000000001</c:v>
                </c:pt>
                <c:pt idx="130">
                  <c:v>163.80000000000001</c:v>
                </c:pt>
                <c:pt idx="131">
                  <c:v>166.4</c:v>
                </c:pt>
                <c:pt idx="132">
                  <c:v>166.4</c:v>
                </c:pt>
                <c:pt idx="133">
                  <c:v>161.20000000000002</c:v>
                </c:pt>
              </c:numCache>
            </c:numRef>
          </c:val>
          <c:smooth val="0"/>
          <c:extLst>
            <c:ext xmlns:c16="http://schemas.microsoft.com/office/drawing/2014/chart" uri="{C3380CC4-5D6E-409C-BE32-E72D297353CC}">
              <c16:uniqueId val="{00000001-8FA6-44B7-A438-5B7FA47191FE}"/>
            </c:ext>
          </c:extLst>
        </c:ser>
        <c:dLbls>
          <c:showLegendKey val="0"/>
          <c:showVal val="0"/>
          <c:showCatName val="0"/>
          <c:showSerName val="0"/>
          <c:showPercent val="0"/>
          <c:showBubbleSize val="0"/>
        </c:dLbls>
        <c:marker val="1"/>
        <c:smooth val="0"/>
        <c:axId val="34775808"/>
        <c:axId val="34778112"/>
      </c:lineChart>
      <c:dateAx>
        <c:axId val="34775808"/>
        <c:scaling>
          <c:orientation val="minMax"/>
        </c:scaling>
        <c:delete val="0"/>
        <c:axPos val="b"/>
        <c:title>
          <c:tx>
            <c:rich>
              <a:bodyPr/>
              <a:lstStyle/>
              <a:p>
                <a:pPr>
                  <a:defRPr sz="800" b="1" i="0" u="none" strike="noStrike" baseline="0">
                    <a:solidFill>
                      <a:srgbClr val="000000"/>
                    </a:solidFill>
                    <a:latin typeface="Arial"/>
                    <a:ea typeface="Arial"/>
                    <a:cs typeface="Arial"/>
                  </a:defRPr>
                </a:pPr>
                <a:r>
                  <a:t>Time</a:t>
                </a:r>
              </a:p>
            </c:rich>
          </c:tx>
          <c:layout>
            <c:manualLayout>
              <c:xMode val="edge"/>
              <c:yMode val="edge"/>
              <c:x val="0.50552838243225273"/>
              <c:y val="0.86767686044585068"/>
            </c:manualLayout>
          </c:layout>
          <c:overlay val="0"/>
          <c:spPr>
            <a:noFill/>
            <a:ln w="25400">
              <a:noFill/>
            </a:ln>
          </c:spPr>
        </c:title>
        <c:numFmt formatCode="mmm\-yy" sourceLinked="0"/>
        <c:majorTickMark val="out"/>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Arial"/>
                <a:ea typeface="Arial"/>
                <a:cs typeface="Arial"/>
              </a:defRPr>
            </a:pPr>
            <a:endParaRPr lang="en-US"/>
          </a:p>
        </c:txPr>
        <c:crossAx val="34778112"/>
        <c:crosses val="autoZero"/>
        <c:auto val="1"/>
        <c:lblOffset val="100"/>
        <c:baseTimeUnit val="days"/>
        <c:majorUnit val="1"/>
        <c:majorTimeUnit val="months"/>
        <c:minorUnit val="1"/>
        <c:minorTimeUnit val="months"/>
      </c:dateAx>
      <c:valAx>
        <c:axId val="34778112"/>
        <c:scaling>
          <c:orientation val="minMax"/>
          <c:min val="100"/>
        </c:scaling>
        <c:delete val="0"/>
        <c:axPos val="l"/>
        <c:majorGridlines>
          <c:spPr>
            <a:ln w="3175">
              <a:solidFill>
                <a:srgbClr val="000000"/>
              </a:solidFill>
              <a:prstDash val="solid"/>
            </a:ln>
          </c:spPr>
        </c:majorGridlines>
        <c:title>
          <c:tx>
            <c:rich>
              <a:bodyPr/>
              <a:lstStyle/>
              <a:p>
                <a:pPr>
                  <a:defRPr sz="800" b="1" i="0" u="none" strike="noStrike" baseline="0">
                    <a:solidFill>
                      <a:srgbClr val="000000"/>
                    </a:solidFill>
                    <a:latin typeface="Arial"/>
                    <a:ea typeface="Arial"/>
                    <a:cs typeface="Arial"/>
                  </a:defRPr>
                </a:pPr>
                <a:r>
                  <a:t>Price (cents per kg live weight)</a:t>
                </a:r>
              </a:p>
            </c:rich>
          </c:tx>
          <c:layout>
            <c:manualLayout>
              <c:xMode val="edge"/>
              <c:yMode val="edge"/>
              <c:x val="1.9095505499429032E-2"/>
              <c:y val="0.26654125778401955"/>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34775808"/>
        <c:crosses val="autoZero"/>
        <c:crossBetween val="between"/>
      </c:valAx>
      <c:spPr>
        <a:noFill/>
        <a:ln w="25400">
          <a:noFill/>
        </a:ln>
      </c:spPr>
    </c:plotArea>
    <c:legend>
      <c:legendPos val="b"/>
      <c:layout>
        <c:manualLayout>
          <c:xMode val="edge"/>
          <c:yMode val="edge"/>
          <c:x val="0.24020135865071249"/>
          <c:y val="0.93762031107002619"/>
          <c:w val="0.56683500535147235"/>
          <c:h val="4.5368724729194815E-2"/>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9</xdr:col>
      <xdr:colOff>160020</xdr:colOff>
      <xdr:row>35</xdr:row>
      <xdr:rowOff>144780</xdr:rowOff>
    </xdr:from>
    <xdr:to>
      <xdr:col>16</xdr:col>
      <xdr:colOff>335280</xdr:colOff>
      <xdr:row>59</xdr:row>
      <xdr:rowOff>45720</xdr:rowOff>
    </xdr:to>
    <xdr:graphicFrame macro="">
      <xdr:nvGraphicFramePr>
        <xdr:cNvPr id="1025" name="Chart 1">
          <a:extLst>
            <a:ext uri="{FF2B5EF4-FFF2-40B4-BE49-F238E27FC236}">
              <a16:creationId xmlns:a16="http://schemas.microsoft.com/office/drawing/2014/main" id="{00000000-0008-0000-0300-000001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99060</xdr:colOff>
      <xdr:row>35</xdr:row>
      <xdr:rowOff>106680</xdr:rowOff>
    </xdr:from>
    <xdr:to>
      <xdr:col>8</xdr:col>
      <xdr:colOff>975360</xdr:colOff>
      <xdr:row>59</xdr:row>
      <xdr:rowOff>7620</xdr:rowOff>
    </xdr:to>
    <xdr:graphicFrame macro="">
      <xdr:nvGraphicFramePr>
        <xdr:cNvPr id="1026" name="Chart 2">
          <a:extLst>
            <a:ext uri="{FF2B5EF4-FFF2-40B4-BE49-F238E27FC236}">
              <a16:creationId xmlns:a16="http://schemas.microsoft.com/office/drawing/2014/main" id="{00000000-0008-0000-0300-000002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160020</xdr:colOff>
      <xdr:row>61</xdr:row>
      <xdr:rowOff>30480</xdr:rowOff>
    </xdr:from>
    <xdr:to>
      <xdr:col>8</xdr:col>
      <xdr:colOff>967740</xdr:colOff>
      <xdr:row>82</xdr:row>
      <xdr:rowOff>60960</xdr:rowOff>
    </xdr:to>
    <xdr:graphicFrame macro="">
      <xdr:nvGraphicFramePr>
        <xdr:cNvPr id="1027" name="Chart 3">
          <a:extLst>
            <a:ext uri="{FF2B5EF4-FFF2-40B4-BE49-F238E27FC236}">
              <a16:creationId xmlns:a16="http://schemas.microsoft.com/office/drawing/2014/main" id="{00000000-0008-0000-0300-000003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18</xdr:col>
      <xdr:colOff>441960</xdr:colOff>
      <xdr:row>0</xdr:row>
      <xdr:rowOff>0</xdr:rowOff>
    </xdr:from>
    <xdr:to>
      <xdr:col>20</xdr:col>
      <xdr:colOff>662940</xdr:colOff>
      <xdr:row>0</xdr:row>
      <xdr:rowOff>0</xdr:rowOff>
    </xdr:to>
    <xdr:sp macro="" textlink="">
      <xdr:nvSpPr>
        <xdr:cNvPr id="22529" name="AutoShape 1">
          <a:extLst>
            <a:ext uri="{FF2B5EF4-FFF2-40B4-BE49-F238E27FC236}">
              <a16:creationId xmlns:a16="http://schemas.microsoft.com/office/drawing/2014/main" id="{00000000-0008-0000-1200-000001580000}"/>
            </a:ext>
          </a:extLst>
        </xdr:cNvPr>
        <xdr:cNvSpPr>
          <a:spLocks noChangeArrowheads="1"/>
        </xdr:cNvSpPr>
      </xdr:nvSpPr>
      <xdr:spPr bwMode="auto">
        <a:xfrm>
          <a:off x="33268920" y="0"/>
          <a:ext cx="3238500" cy="0"/>
        </a:xfrm>
        <a:prstGeom prst="leftArrow">
          <a:avLst>
            <a:gd name="adj1" fmla="val 50000"/>
            <a:gd name="adj2" fmla="val -2147483648"/>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24</xdr:col>
      <xdr:colOff>144780</xdr:colOff>
      <xdr:row>0</xdr:row>
      <xdr:rowOff>0</xdr:rowOff>
    </xdr:from>
    <xdr:to>
      <xdr:col>24</xdr:col>
      <xdr:colOff>2606040</xdr:colOff>
      <xdr:row>0</xdr:row>
      <xdr:rowOff>0</xdr:rowOff>
    </xdr:to>
    <xdr:sp macro="" textlink="">
      <xdr:nvSpPr>
        <xdr:cNvPr id="22530" name="AutoShape 2">
          <a:extLst>
            <a:ext uri="{FF2B5EF4-FFF2-40B4-BE49-F238E27FC236}">
              <a16:creationId xmlns:a16="http://schemas.microsoft.com/office/drawing/2014/main" id="{00000000-0008-0000-1200-000002580000}"/>
            </a:ext>
          </a:extLst>
        </xdr:cNvPr>
        <xdr:cNvSpPr>
          <a:spLocks noChangeArrowheads="1"/>
        </xdr:cNvSpPr>
      </xdr:nvSpPr>
      <xdr:spPr bwMode="auto">
        <a:xfrm flipH="1">
          <a:off x="40789860" y="0"/>
          <a:ext cx="2461260" cy="0"/>
        </a:xfrm>
        <a:prstGeom prst="leftArrow">
          <a:avLst>
            <a:gd name="adj1" fmla="val 50000"/>
            <a:gd name="adj2" fmla="val -2147483648"/>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18</xdr:col>
      <xdr:colOff>441960</xdr:colOff>
      <xdr:row>0</xdr:row>
      <xdr:rowOff>0</xdr:rowOff>
    </xdr:from>
    <xdr:to>
      <xdr:col>20</xdr:col>
      <xdr:colOff>662940</xdr:colOff>
      <xdr:row>0</xdr:row>
      <xdr:rowOff>0</xdr:rowOff>
    </xdr:to>
    <xdr:sp macro="" textlink="">
      <xdr:nvSpPr>
        <xdr:cNvPr id="22531" name="AutoShape 3">
          <a:extLst>
            <a:ext uri="{FF2B5EF4-FFF2-40B4-BE49-F238E27FC236}">
              <a16:creationId xmlns:a16="http://schemas.microsoft.com/office/drawing/2014/main" id="{00000000-0008-0000-1200-000003580000}"/>
            </a:ext>
          </a:extLst>
        </xdr:cNvPr>
        <xdr:cNvSpPr>
          <a:spLocks noChangeArrowheads="1"/>
        </xdr:cNvSpPr>
      </xdr:nvSpPr>
      <xdr:spPr bwMode="auto">
        <a:xfrm>
          <a:off x="33268920" y="0"/>
          <a:ext cx="3238500" cy="0"/>
        </a:xfrm>
        <a:prstGeom prst="leftArrow">
          <a:avLst>
            <a:gd name="adj1" fmla="val 50000"/>
            <a:gd name="adj2" fmla="val -2147483648"/>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24</xdr:col>
      <xdr:colOff>144780</xdr:colOff>
      <xdr:row>0</xdr:row>
      <xdr:rowOff>0</xdr:rowOff>
    </xdr:from>
    <xdr:to>
      <xdr:col>24</xdr:col>
      <xdr:colOff>2606040</xdr:colOff>
      <xdr:row>0</xdr:row>
      <xdr:rowOff>0</xdr:rowOff>
    </xdr:to>
    <xdr:sp macro="" textlink="">
      <xdr:nvSpPr>
        <xdr:cNvPr id="22532" name="AutoShape 4">
          <a:extLst>
            <a:ext uri="{FF2B5EF4-FFF2-40B4-BE49-F238E27FC236}">
              <a16:creationId xmlns:a16="http://schemas.microsoft.com/office/drawing/2014/main" id="{00000000-0008-0000-1200-000004580000}"/>
            </a:ext>
          </a:extLst>
        </xdr:cNvPr>
        <xdr:cNvSpPr>
          <a:spLocks noChangeArrowheads="1"/>
        </xdr:cNvSpPr>
      </xdr:nvSpPr>
      <xdr:spPr bwMode="auto">
        <a:xfrm flipH="1">
          <a:off x="40789860" y="0"/>
          <a:ext cx="2461260" cy="0"/>
        </a:xfrm>
        <a:prstGeom prst="leftArrow">
          <a:avLst>
            <a:gd name="adj1" fmla="val 50000"/>
            <a:gd name="adj2" fmla="val -2147483648"/>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106680</xdr:colOff>
      <xdr:row>0</xdr:row>
      <xdr:rowOff>0</xdr:rowOff>
    </xdr:from>
    <xdr:to>
      <xdr:col>9</xdr:col>
      <xdr:colOff>1043940</xdr:colOff>
      <xdr:row>0</xdr:row>
      <xdr:rowOff>0</xdr:rowOff>
    </xdr:to>
    <xdr:sp macro="" textlink="">
      <xdr:nvSpPr>
        <xdr:cNvPr id="22533" name="TextBox 3">
          <a:extLst>
            <a:ext uri="{FF2B5EF4-FFF2-40B4-BE49-F238E27FC236}">
              <a16:creationId xmlns:a16="http://schemas.microsoft.com/office/drawing/2014/main" id="{00000000-0008-0000-1200-000005580000}"/>
            </a:ext>
          </a:extLst>
        </xdr:cNvPr>
        <xdr:cNvSpPr txBox="1">
          <a:spLocks noChangeArrowheads="1"/>
        </xdr:cNvSpPr>
      </xdr:nvSpPr>
      <xdr:spPr bwMode="auto">
        <a:xfrm>
          <a:off x="9707880" y="0"/>
          <a:ext cx="9654540" cy="0"/>
        </a:xfrm>
        <a:prstGeom prst="rect">
          <a:avLst/>
        </a:prstGeom>
        <a:solidFill>
          <a:srgbClr val="EEECE1"/>
        </a:solidFill>
        <a:ln w="9525">
          <a:solidFill>
            <a:srgbClr val="000000"/>
          </a:solidFill>
          <a:miter lim="800000"/>
          <a:headEnd/>
          <a:tailEnd/>
        </a:ln>
      </xdr:spPr>
      <xdr:txBody>
        <a:bodyPr vertOverflow="clip" wrap="square" lIns="27432" tIns="18288" rIns="0" bIns="0" anchor="t"/>
        <a:lstStyle/>
        <a:p>
          <a:pPr algn="l" rtl="0">
            <a:defRPr sz="1000"/>
          </a:pPr>
          <a:r>
            <a:rPr lang="en-AU" sz="1200" b="0" i="0" u="none" strike="noStrike" baseline="0">
              <a:solidFill>
                <a:srgbClr val="000000"/>
              </a:solidFill>
              <a:latin typeface="Calibri"/>
              <a:cs typeface="Calibri"/>
            </a:rPr>
            <a:t>Please ensure that the values per head entered here reflect the  average value of the stock in the paddock at calving, not the market value when selling. The values you enter should reflect something along the lines of the values you might get in a "Clearout Sale".</a:t>
          </a:r>
        </a:p>
        <a:p>
          <a:pPr algn="l" rtl="0">
            <a:defRPr sz="1000"/>
          </a:pPr>
          <a:r>
            <a:rPr lang="en-AU" sz="1200" b="0" i="0" u="none" strike="noStrike" baseline="0">
              <a:solidFill>
                <a:srgbClr val="000000"/>
              </a:solidFill>
              <a:latin typeface="Calibri"/>
              <a:cs typeface="Calibri"/>
            </a:rPr>
            <a:t>These values are not used in this analysis to calculate the opportunity cost of livestock capital. Only the interest payable on the average annual livestock purchases is counted to allow comparison with other forages.  Please change the formula in D171 if all livestock capital is to be accounted for.</a:t>
          </a:r>
        </a:p>
      </xdr:txBody>
    </xdr:sp>
    <xdr:clientData/>
  </xdr:twoCellAnchor>
  <xdr:twoCellAnchor>
    <xdr:from>
      <xdr:col>18</xdr:col>
      <xdr:colOff>441960</xdr:colOff>
      <xdr:row>0</xdr:row>
      <xdr:rowOff>0</xdr:rowOff>
    </xdr:from>
    <xdr:to>
      <xdr:col>20</xdr:col>
      <xdr:colOff>662940</xdr:colOff>
      <xdr:row>0</xdr:row>
      <xdr:rowOff>0</xdr:rowOff>
    </xdr:to>
    <xdr:sp macro="" textlink="">
      <xdr:nvSpPr>
        <xdr:cNvPr id="22534" name="AutoShape 6">
          <a:extLst>
            <a:ext uri="{FF2B5EF4-FFF2-40B4-BE49-F238E27FC236}">
              <a16:creationId xmlns:a16="http://schemas.microsoft.com/office/drawing/2014/main" id="{00000000-0008-0000-1200-000006580000}"/>
            </a:ext>
          </a:extLst>
        </xdr:cNvPr>
        <xdr:cNvSpPr>
          <a:spLocks noChangeArrowheads="1"/>
        </xdr:cNvSpPr>
      </xdr:nvSpPr>
      <xdr:spPr bwMode="auto">
        <a:xfrm>
          <a:off x="33268920" y="0"/>
          <a:ext cx="3238500" cy="0"/>
        </a:xfrm>
        <a:prstGeom prst="leftArrow">
          <a:avLst>
            <a:gd name="adj1" fmla="val 50000"/>
            <a:gd name="adj2" fmla="val -2147483648"/>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24</xdr:col>
      <xdr:colOff>144780</xdr:colOff>
      <xdr:row>0</xdr:row>
      <xdr:rowOff>0</xdr:rowOff>
    </xdr:from>
    <xdr:to>
      <xdr:col>24</xdr:col>
      <xdr:colOff>2606040</xdr:colOff>
      <xdr:row>0</xdr:row>
      <xdr:rowOff>0</xdr:rowOff>
    </xdr:to>
    <xdr:sp macro="" textlink="">
      <xdr:nvSpPr>
        <xdr:cNvPr id="22535" name="AutoShape 7">
          <a:extLst>
            <a:ext uri="{FF2B5EF4-FFF2-40B4-BE49-F238E27FC236}">
              <a16:creationId xmlns:a16="http://schemas.microsoft.com/office/drawing/2014/main" id="{00000000-0008-0000-1200-000007580000}"/>
            </a:ext>
          </a:extLst>
        </xdr:cNvPr>
        <xdr:cNvSpPr>
          <a:spLocks noChangeArrowheads="1"/>
        </xdr:cNvSpPr>
      </xdr:nvSpPr>
      <xdr:spPr bwMode="auto">
        <a:xfrm flipH="1">
          <a:off x="40789860" y="0"/>
          <a:ext cx="2461260" cy="0"/>
        </a:xfrm>
        <a:prstGeom prst="leftArrow">
          <a:avLst>
            <a:gd name="adj1" fmla="val 50000"/>
            <a:gd name="adj2" fmla="val -2147483648"/>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22860</xdr:colOff>
      <xdr:row>0</xdr:row>
      <xdr:rowOff>0</xdr:rowOff>
    </xdr:from>
    <xdr:to>
      <xdr:col>10</xdr:col>
      <xdr:colOff>762000</xdr:colOff>
      <xdr:row>0</xdr:row>
      <xdr:rowOff>0</xdr:rowOff>
    </xdr:to>
    <xdr:sp macro="" textlink="">
      <xdr:nvSpPr>
        <xdr:cNvPr id="22536" name="Text Box 8">
          <a:extLst>
            <a:ext uri="{FF2B5EF4-FFF2-40B4-BE49-F238E27FC236}">
              <a16:creationId xmlns:a16="http://schemas.microsoft.com/office/drawing/2014/main" id="{00000000-0008-0000-1200-000008580000}"/>
            </a:ext>
          </a:extLst>
        </xdr:cNvPr>
        <xdr:cNvSpPr txBox="1">
          <a:spLocks noChangeArrowheads="1"/>
        </xdr:cNvSpPr>
      </xdr:nvSpPr>
      <xdr:spPr bwMode="auto">
        <a:xfrm>
          <a:off x="9624060" y="0"/>
          <a:ext cx="11452860" cy="0"/>
        </a:xfrm>
        <a:prstGeom prst="rect">
          <a:avLst/>
        </a:prstGeom>
        <a:solidFill>
          <a:srgbClr val="EAEAEA"/>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en-AU" sz="1200" b="0" i="0" u="none" strike="noStrike" baseline="0">
              <a:solidFill>
                <a:srgbClr val="000000"/>
              </a:solidFill>
              <a:latin typeface="Arial"/>
              <a:cs typeface="Arial"/>
            </a:rPr>
            <a:t>Note:</a:t>
          </a:r>
        </a:p>
        <a:p>
          <a:pPr algn="l" rtl="0">
            <a:defRPr sz="1000"/>
          </a:pPr>
          <a:r>
            <a:rPr lang="en-AU" sz="1200" b="0" i="0" u="none" strike="noStrike" baseline="0">
              <a:solidFill>
                <a:srgbClr val="000000"/>
              </a:solidFill>
              <a:latin typeface="Arial"/>
              <a:cs typeface="Arial"/>
            </a:rPr>
            <a:t>Adult Equivalents (AEs) for dry cattle are based on relativity to a standard weight of beast carried for 12 months.  One adult equivalent (AE) can be thought of as the amount of feed consumed in 12 months by a non-lactating animal of average weight 450 kg. Therefore, if average feed consumption is 2.2% of bodyweight, this would be equivalent to approx 3,650 kg dry matter per year for one AE.</a:t>
          </a:r>
        </a:p>
      </xdr:txBody>
    </xdr:sp>
    <xdr:clientData/>
  </xdr:twoCellAnchor>
  <xdr:twoCellAnchor>
    <xdr:from>
      <xdr:col>5</xdr:col>
      <xdr:colOff>22860</xdr:colOff>
      <xdr:row>233</xdr:row>
      <xdr:rowOff>160020</xdr:rowOff>
    </xdr:from>
    <xdr:to>
      <xdr:col>10</xdr:col>
      <xdr:colOff>762000</xdr:colOff>
      <xdr:row>237</xdr:row>
      <xdr:rowOff>99060</xdr:rowOff>
    </xdr:to>
    <xdr:sp macro="" textlink="">
      <xdr:nvSpPr>
        <xdr:cNvPr id="22538" name="Text Box 10">
          <a:extLst>
            <a:ext uri="{FF2B5EF4-FFF2-40B4-BE49-F238E27FC236}">
              <a16:creationId xmlns:a16="http://schemas.microsoft.com/office/drawing/2014/main" id="{00000000-0008-0000-1200-00000A580000}"/>
            </a:ext>
          </a:extLst>
        </xdr:cNvPr>
        <xdr:cNvSpPr txBox="1">
          <a:spLocks noChangeArrowheads="1"/>
        </xdr:cNvSpPr>
      </xdr:nvSpPr>
      <xdr:spPr bwMode="auto">
        <a:xfrm>
          <a:off x="9624060" y="49042320"/>
          <a:ext cx="11452860" cy="701040"/>
        </a:xfrm>
        <a:prstGeom prst="rect">
          <a:avLst/>
        </a:prstGeom>
        <a:solidFill>
          <a:srgbClr val="EAEAEA"/>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en-AU" sz="1200" b="0" i="0" u="none" strike="noStrike" baseline="0">
              <a:solidFill>
                <a:srgbClr val="000000"/>
              </a:solidFill>
              <a:latin typeface="Arial"/>
              <a:cs typeface="Arial"/>
            </a:rPr>
            <a:t>Note:</a:t>
          </a:r>
        </a:p>
        <a:p>
          <a:pPr algn="l" rtl="0">
            <a:defRPr sz="1000"/>
          </a:pPr>
          <a:r>
            <a:rPr lang="en-AU" sz="1200" b="0" i="0" u="none" strike="noStrike" baseline="0">
              <a:solidFill>
                <a:srgbClr val="000000"/>
              </a:solidFill>
              <a:latin typeface="Arial"/>
              <a:cs typeface="Arial"/>
            </a:rPr>
            <a:t>Adult Equivalents (AEs) for dry cattle are based on relativity to a standard weight of beast carried for 12 months.  One adult equivalent (AE) can be thought of as the amount of feed consumed in 12 months by a non-lactating animal of average weight 450 kg. Therefore, if average feed consumption is 2.2% of bodyweight, this would be equivalent to approx 3,650 kg dry matter per year for one AE.</a:t>
          </a:r>
        </a:p>
      </xdr:txBody>
    </xdr:sp>
    <xdr:clientData/>
  </xdr:twoCellAnchor>
  <xdr:twoCellAnchor>
    <xdr:from>
      <xdr:col>18</xdr:col>
      <xdr:colOff>441960</xdr:colOff>
      <xdr:row>147</xdr:row>
      <xdr:rowOff>167640</xdr:rowOff>
    </xdr:from>
    <xdr:to>
      <xdr:col>20</xdr:col>
      <xdr:colOff>662940</xdr:colOff>
      <xdr:row>149</xdr:row>
      <xdr:rowOff>68580</xdr:rowOff>
    </xdr:to>
    <xdr:sp macro="" textlink="">
      <xdr:nvSpPr>
        <xdr:cNvPr id="22539" name="AutoShape 11">
          <a:extLst>
            <a:ext uri="{FF2B5EF4-FFF2-40B4-BE49-F238E27FC236}">
              <a16:creationId xmlns:a16="http://schemas.microsoft.com/office/drawing/2014/main" id="{00000000-0008-0000-1200-00000B580000}"/>
            </a:ext>
          </a:extLst>
        </xdr:cNvPr>
        <xdr:cNvSpPr>
          <a:spLocks noChangeArrowheads="1"/>
        </xdr:cNvSpPr>
      </xdr:nvSpPr>
      <xdr:spPr bwMode="auto">
        <a:xfrm>
          <a:off x="33268920" y="32491680"/>
          <a:ext cx="3238500" cy="289560"/>
        </a:xfrm>
        <a:prstGeom prst="leftArrow">
          <a:avLst>
            <a:gd name="adj1" fmla="val 50000"/>
            <a:gd name="adj2" fmla="val 279605"/>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24</xdr:col>
      <xdr:colOff>144780</xdr:colOff>
      <xdr:row>148</xdr:row>
      <xdr:rowOff>68580</xdr:rowOff>
    </xdr:from>
    <xdr:to>
      <xdr:col>24</xdr:col>
      <xdr:colOff>2598420</xdr:colOff>
      <xdr:row>149</xdr:row>
      <xdr:rowOff>182880</xdr:rowOff>
    </xdr:to>
    <xdr:sp macro="" textlink="">
      <xdr:nvSpPr>
        <xdr:cNvPr id="22540" name="AutoShape 12">
          <a:extLst>
            <a:ext uri="{FF2B5EF4-FFF2-40B4-BE49-F238E27FC236}">
              <a16:creationId xmlns:a16="http://schemas.microsoft.com/office/drawing/2014/main" id="{00000000-0008-0000-1200-00000C580000}"/>
            </a:ext>
          </a:extLst>
        </xdr:cNvPr>
        <xdr:cNvSpPr>
          <a:spLocks noChangeArrowheads="1"/>
        </xdr:cNvSpPr>
      </xdr:nvSpPr>
      <xdr:spPr bwMode="auto">
        <a:xfrm flipH="1">
          <a:off x="40789860" y="32590740"/>
          <a:ext cx="2453640" cy="304800"/>
        </a:xfrm>
        <a:prstGeom prst="leftArrow">
          <a:avLst>
            <a:gd name="adj1" fmla="val 50000"/>
            <a:gd name="adj2" fmla="val 201250"/>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18</xdr:col>
      <xdr:colOff>441960</xdr:colOff>
      <xdr:row>0</xdr:row>
      <xdr:rowOff>0</xdr:rowOff>
    </xdr:from>
    <xdr:to>
      <xdr:col>20</xdr:col>
      <xdr:colOff>662940</xdr:colOff>
      <xdr:row>0</xdr:row>
      <xdr:rowOff>0</xdr:rowOff>
    </xdr:to>
    <xdr:sp macro="" textlink="">
      <xdr:nvSpPr>
        <xdr:cNvPr id="22541" name="AutoShape 13">
          <a:extLst>
            <a:ext uri="{FF2B5EF4-FFF2-40B4-BE49-F238E27FC236}">
              <a16:creationId xmlns:a16="http://schemas.microsoft.com/office/drawing/2014/main" id="{00000000-0008-0000-1200-00000D580000}"/>
            </a:ext>
          </a:extLst>
        </xdr:cNvPr>
        <xdr:cNvSpPr>
          <a:spLocks noChangeArrowheads="1"/>
        </xdr:cNvSpPr>
      </xdr:nvSpPr>
      <xdr:spPr bwMode="auto">
        <a:xfrm>
          <a:off x="33268920" y="0"/>
          <a:ext cx="3238500" cy="0"/>
        </a:xfrm>
        <a:prstGeom prst="leftArrow">
          <a:avLst>
            <a:gd name="adj1" fmla="val 50000"/>
            <a:gd name="adj2" fmla="val -2147483648"/>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24</xdr:col>
      <xdr:colOff>144780</xdr:colOff>
      <xdr:row>0</xdr:row>
      <xdr:rowOff>0</xdr:rowOff>
    </xdr:from>
    <xdr:to>
      <xdr:col>24</xdr:col>
      <xdr:colOff>2606040</xdr:colOff>
      <xdr:row>0</xdr:row>
      <xdr:rowOff>0</xdr:rowOff>
    </xdr:to>
    <xdr:sp macro="" textlink="">
      <xdr:nvSpPr>
        <xdr:cNvPr id="22542" name="AutoShape 14">
          <a:extLst>
            <a:ext uri="{FF2B5EF4-FFF2-40B4-BE49-F238E27FC236}">
              <a16:creationId xmlns:a16="http://schemas.microsoft.com/office/drawing/2014/main" id="{00000000-0008-0000-1200-00000E580000}"/>
            </a:ext>
          </a:extLst>
        </xdr:cNvPr>
        <xdr:cNvSpPr>
          <a:spLocks noChangeArrowheads="1"/>
        </xdr:cNvSpPr>
      </xdr:nvSpPr>
      <xdr:spPr bwMode="auto">
        <a:xfrm flipH="1">
          <a:off x="40789860" y="0"/>
          <a:ext cx="2461260" cy="0"/>
        </a:xfrm>
        <a:prstGeom prst="leftArrow">
          <a:avLst>
            <a:gd name="adj1" fmla="val 50000"/>
            <a:gd name="adj2" fmla="val -2147483648"/>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18</xdr:col>
      <xdr:colOff>441960</xdr:colOff>
      <xdr:row>0</xdr:row>
      <xdr:rowOff>0</xdr:rowOff>
    </xdr:from>
    <xdr:to>
      <xdr:col>20</xdr:col>
      <xdr:colOff>662940</xdr:colOff>
      <xdr:row>0</xdr:row>
      <xdr:rowOff>0</xdr:rowOff>
    </xdr:to>
    <xdr:sp macro="" textlink="">
      <xdr:nvSpPr>
        <xdr:cNvPr id="22543" name="AutoShape 15">
          <a:extLst>
            <a:ext uri="{FF2B5EF4-FFF2-40B4-BE49-F238E27FC236}">
              <a16:creationId xmlns:a16="http://schemas.microsoft.com/office/drawing/2014/main" id="{00000000-0008-0000-1200-00000F580000}"/>
            </a:ext>
          </a:extLst>
        </xdr:cNvPr>
        <xdr:cNvSpPr>
          <a:spLocks noChangeArrowheads="1"/>
        </xdr:cNvSpPr>
      </xdr:nvSpPr>
      <xdr:spPr bwMode="auto">
        <a:xfrm>
          <a:off x="33268920" y="0"/>
          <a:ext cx="3238500" cy="0"/>
        </a:xfrm>
        <a:prstGeom prst="leftArrow">
          <a:avLst>
            <a:gd name="adj1" fmla="val 50000"/>
            <a:gd name="adj2" fmla="val -2147483648"/>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24</xdr:col>
      <xdr:colOff>144780</xdr:colOff>
      <xdr:row>0</xdr:row>
      <xdr:rowOff>0</xdr:rowOff>
    </xdr:from>
    <xdr:to>
      <xdr:col>24</xdr:col>
      <xdr:colOff>2606040</xdr:colOff>
      <xdr:row>0</xdr:row>
      <xdr:rowOff>0</xdr:rowOff>
    </xdr:to>
    <xdr:sp macro="" textlink="">
      <xdr:nvSpPr>
        <xdr:cNvPr id="22544" name="AutoShape 16">
          <a:extLst>
            <a:ext uri="{FF2B5EF4-FFF2-40B4-BE49-F238E27FC236}">
              <a16:creationId xmlns:a16="http://schemas.microsoft.com/office/drawing/2014/main" id="{00000000-0008-0000-1200-000010580000}"/>
            </a:ext>
          </a:extLst>
        </xdr:cNvPr>
        <xdr:cNvSpPr>
          <a:spLocks noChangeArrowheads="1"/>
        </xdr:cNvSpPr>
      </xdr:nvSpPr>
      <xdr:spPr bwMode="auto">
        <a:xfrm flipH="1">
          <a:off x="40789860" y="0"/>
          <a:ext cx="2461260" cy="0"/>
        </a:xfrm>
        <a:prstGeom prst="leftArrow">
          <a:avLst>
            <a:gd name="adj1" fmla="val 50000"/>
            <a:gd name="adj2" fmla="val -2147483648"/>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106680</xdr:colOff>
      <xdr:row>0</xdr:row>
      <xdr:rowOff>0</xdr:rowOff>
    </xdr:from>
    <xdr:to>
      <xdr:col>9</xdr:col>
      <xdr:colOff>1043940</xdr:colOff>
      <xdr:row>0</xdr:row>
      <xdr:rowOff>0</xdr:rowOff>
    </xdr:to>
    <xdr:sp macro="" textlink="">
      <xdr:nvSpPr>
        <xdr:cNvPr id="22545" name="TextBox 3">
          <a:extLst>
            <a:ext uri="{FF2B5EF4-FFF2-40B4-BE49-F238E27FC236}">
              <a16:creationId xmlns:a16="http://schemas.microsoft.com/office/drawing/2014/main" id="{00000000-0008-0000-1200-000011580000}"/>
            </a:ext>
          </a:extLst>
        </xdr:cNvPr>
        <xdr:cNvSpPr txBox="1">
          <a:spLocks noChangeArrowheads="1"/>
        </xdr:cNvSpPr>
      </xdr:nvSpPr>
      <xdr:spPr bwMode="auto">
        <a:xfrm>
          <a:off x="9707880" y="0"/>
          <a:ext cx="9654540" cy="0"/>
        </a:xfrm>
        <a:prstGeom prst="rect">
          <a:avLst/>
        </a:prstGeom>
        <a:solidFill>
          <a:srgbClr val="EEECE1"/>
        </a:solidFill>
        <a:ln w="9525">
          <a:solidFill>
            <a:srgbClr val="000000"/>
          </a:solidFill>
          <a:miter lim="800000"/>
          <a:headEnd/>
          <a:tailEnd/>
        </a:ln>
      </xdr:spPr>
      <xdr:txBody>
        <a:bodyPr vertOverflow="clip" wrap="square" lIns="27432" tIns="18288" rIns="0" bIns="0" anchor="t"/>
        <a:lstStyle/>
        <a:p>
          <a:pPr algn="l" rtl="0">
            <a:defRPr sz="1000"/>
          </a:pPr>
          <a:r>
            <a:rPr lang="en-AU" sz="1200" b="0" i="0" u="none" strike="noStrike" baseline="0">
              <a:solidFill>
                <a:srgbClr val="000000"/>
              </a:solidFill>
              <a:latin typeface="Calibri"/>
              <a:cs typeface="Calibri"/>
            </a:rPr>
            <a:t>Please ensure that the values per head entered here reflect the  average value of the stock in the paddock at calving, not the market value when selling. The values you enter should reflect something along the lines of the values you might get in a "Clearout Sale".</a:t>
          </a:r>
        </a:p>
        <a:p>
          <a:pPr algn="l" rtl="0">
            <a:defRPr sz="1000"/>
          </a:pPr>
          <a:r>
            <a:rPr lang="en-AU" sz="1200" b="0" i="0" u="none" strike="noStrike" baseline="0">
              <a:solidFill>
                <a:srgbClr val="000000"/>
              </a:solidFill>
              <a:latin typeface="Calibri"/>
              <a:cs typeface="Calibri"/>
            </a:rPr>
            <a:t>These values are not used in this analysis to calculate the opportunity cost of livestock capital. Only the interest payable on the average annual livestock purchases is counted to allow comparison with other forages.  Please change the formula in D171 if all livestock capital is to be accounted for.</a:t>
          </a:r>
        </a:p>
      </xdr:txBody>
    </xdr:sp>
    <xdr:clientData/>
  </xdr:twoCellAnchor>
  <xdr:twoCellAnchor>
    <xdr:from>
      <xdr:col>18</xdr:col>
      <xdr:colOff>441960</xdr:colOff>
      <xdr:row>0</xdr:row>
      <xdr:rowOff>0</xdr:rowOff>
    </xdr:from>
    <xdr:to>
      <xdr:col>20</xdr:col>
      <xdr:colOff>662940</xdr:colOff>
      <xdr:row>0</xdr:row>
      <xdr:rowOff>0</xdr:rowOff>
    </xdr:to>
    <xdr:sp macro="" textlink="">
      <xdr:nvSpPr>
        <xdr:cNvPr id="22546" name="AutoShape 18">
          <a:extLst>
            <a:ext uri="{FF2B5EF4-FFF2-40B4-BE49-F238E27FC236}">
              <a16:creationId xmlns:a16="http://schemas.microsoft.com/office/drawing/2014/main" id="{00000000-0008-0000-1200-000012580000}"/>
            </a:ext>
          </a:extLst>
        </xdr:cNvPr>
        <xdr:cNvSpPr>
          <a:spLocks noChangeArrowheads="1"/>
        </xdr:cNvSpPr>
      </xdr:nvSpPr>
      <xdr:spPr bwMode="auto">
        <a:xfrm>
          <a:off x="33268920" y="0"/>
          <a:ext cx="3238500" cy="0"/>
        </a:xfrm>
        <a:prstGeom prst="leftArrow">
          <a:avLst>
            <a:gd name="adj1" fmla="val 50000"/>
            <a:gd name="adj2" fmla="val -2147483648"/>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24</xdr:col>
      <xdr:colOff>144780</xdr:colOff>
      <xdr:row>0</xdr:row>
      <xdr:rowOff>0</xdr:rowOff>
    </xdr:from>
    <xdr:to>
      <xdr:col>24</xdr:col>
      <xdr:colOff>2606040</xdr:colOff>
      <xdr:row>0</xdr:row>
      <xdr:rowOff>0</xdr:rowOff>
    </xdr:to>
    <xdr:sp macro="" textlink="">
      <xdr:nvSpPr>
        <xdr:cNvPr id="22547" name="AutoShape 19">
          <a:extLst>
            <a:ext uri="{FF2B5EF4-FFF2-40B4-BE49-F238E27FC236}">
              <a16:creationId xmlns:a16="http://schemas.microsoft.com/office/drawing/2014/main" id="{00000000-0008-0000-1200-000013580000}"/>
            </a:ext>
          </a:extLst>
        </xdr:cNvPr>
        <xdr:cNvSpPr>
          <a:spLocks noChangeArrowheads="1"/>
        </xdr:cNvSpPr>
      </xdr:nvSpPr>
      <xdr:spPr bwMode="auto">
        <a:xfrm flipH="1">
          <a:off x="40789860" y="0"/>
          <a:ext cx="2461260" cy="0"/>
        </a:xfrm>
        <a:prstGeom prst="leftArrow">
          <a:avLst>
            <a:gd name="adj1" fmla="val 50000"/>
            <a:gd name="adj2" fmla="val -2147483648"/>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22860</xdr:colOff>
      <xdr:row>0</xdr:row>
      <xdr:rowOff>0</xdr:rowOff>
    </xdr:from>
    <xdr:to>
      <xdr:col>10</xdr:col>
      <xdr:colOff>762000</xdr:colOff>
      <xdr:row>0</xdr:row>
      <xdr:rowOff>0</xdr:rowOff>
    </xdr:to>
    <xdr:sp macro="" textlink="">
      <xdr:nvSpPr>
        <xdr:cNvPr id="22548" name="Text Box 20">
          <a:extLst>
            <a:ext uri="{FF2B5EF4-FFF2-40B4-BE49-F238E27FC236}">
              <a16:creationId xmlns:a16="http://schemas.microsoft.com/office/drawing/2014/main" id="{00000000-0008-0000-1200-000014580000}"/>
            </a:ext>
          </a:extLst>
        </xdr:cNvPr>
        <xdr:cNvSpPr txBox="1">
          <a:spLocks noChangeArrowheads="1"/>
        </xdr:cNvSpPr>
      </xdr:nvSpPr>
      <xdr:spPr bwMode="auto">
        <a:xfrm>
          <a:off x="9624060" y="0"/>
          <a:ext cx="11452860" cy="0"/>
        </a:xfrm>
        <a:prstGeom prst="rect">
          <a:avLst/>
        </a:prstGeom>
        <a:solidFill>
          <a:srgbClr val="EAEAEA"/>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en-AU" sz="1200" b="0" i="0" u="none" strike="noStrike" baseline="0">
              <a:solidFill>
                <a:srgbClr val="000000"/>
              </a:solidFill>
              <a:latin typeface="Arial"/>
              <a:cs typeface="Arial"/>
            </a:rPr>
            <a:t>Note:</a:t>
          </a:r>
        </a:p>
        <a:p>
          <a:pPr algn="l" rtl="0">
            <a:defRPr sz="1000"/>
          </a:pPr>
          <a:r>
            <a:rPr lang="en-AU" sz="1200" b="0" i="0" u="none" strike="noStrike" baseline="0">
              <a:solidFill>
                <a:srgbClr val="000000"/>
              </a:solidFill>
              <a:latin typeface="Arial"/>
              <a:cs typeface="Arial"/>
            </a:rPr>
            <a:t>Adult Equivalents (AEs) for dry cattle are based on relativity to a standard weight of beast carried for 12 months.  One adult equivalent (AE) can be thought of as the amount of feed consumed in 12 months by a non-lactating animal of average weight 450 kg. Therefore, if average feed consumption is 2.2% of bodyweight, this would be equivalent to approx 3,650 kg dry matter per year for one AE.</a:t>
          </a:r>
        </a:p>
      </xdr:txBody>
    </xdr:sp>
    <xdr:clientData/>
  </xdr:twoCellAnchor>
  <xdr:twoCellAnchor>
    <xdr:from>
      <xdr:col>18</xdr:col>
      <xdr:colOff>441960</xdr:colOff>
      <xdr:row>102</xdr:row>
      <xdr:rowOff>167640</xdr:rowOff>
    </xdr:from>
    <xdr:to>
      <xdr:col>20</xdr:col>
      <xdr:colOff>662940</xdr:colOff>
      <xdr:row>104</xdr:row>
      <xdr:rowOff>68580</xdr:rowOff>
    </xdr:to>
    <xdr:sp macro="" textlink="">
      <xdr:nvSpPr>
        <xdr:cNvPr id="22549" name="AutoShape 21">
          <a:extLst>
            <a:ext uri="{FF2B5EF4-FFF2-40B4-BE49-F238E27FC236}">
              <a16:creationId xmlns:a16="http://schemas.microsoft.com/office/drawing/2014/main" id="{00000000-0008-0000-1200-000015580000}"/>
            </a:ext>
          </a:extLst>
        </xdr:cNvPr>
        <xdr:cNvSpPr>
          <a:spLocks noChangeArrowheads="1"/>
        </xdr:cNvSpPr>
      </xdr:nvSpPr>
      <xdr:spPr bwMode="auto">
        <a:xfrm>
          <a:off x="33268920" y="23644860"/>
          <a:ext cx="3238500" cy="281940"/>
        </a:xfrm>
        <a:prstGeom prst="leftArrow">
          <a:avLst>
            <a:gd name="adj1" fmla="val 50000"/>
            <a:gd name="adj2" fmla="val 287162"/>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24</xdr:col>
      <xdr:colOff>144780</xdr:colOff>
      <xdr:row>103</xdr:row>
      <xdr:rowOff>68580</xdr:rowOff>
    </xdr:from>
    <xdr:to>
      <xdr:col>24</xdr:col>
      <xdr:colOff>2598420</xdr:colOff>
      <xdr:row>104</xdr:row>
      <xdr:rowOff>182880</xdr:rowOff>
    </xdr:to>
    <xdr:sp macro="" textlink="">
      <xdr:nvSpPr>
        <xdr:cNvPr id="22550" name="AutoShape 22">
          <a:extLst>
            <a:ext uri="{FF2B5EF4-FFF2-40B4-BE49-F238E27FC236}">
              <a16:creationId xmlns:a16="http://schemas.microsoft.com/office/drawing/2014/main" id="{00000000-0008-0000-1200-000016580000}"/>
            </a:ext>
          </a:extLst>
        </xdr:cNvPr>
        <xdr:cNvSpPr>
          <a:spLocks noChangeArrowheads="1"/>
        </xdr:cNvSpPr>
      </xdr:nvSpPr>
      <xdr:spPr bwMode="auto">
        <a:xfrm flipH="1">
          <a:off x="40789860" y="23736300"/>
          <a:ext cx="2453640" cy="304800"/>
        </a:xfrm>
        <a:prstGeom prst="leftArrow">
          <a:avLst>
            <a:gd name="adj1" fmla="val 50000"/>
            <a:gd name="adj2" fmla="val 201250"/>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22860</xdr:colOff>
      <xdr:row>176</xdr:row>
      <xdr:rowOff>160020</xdr:rowOff>
    </xdr:from>
    <xdr:to>
      <xdr:col>11</xdr:col>
      <xdr:colOff>762000</xdr:colOff>
      <xdr:row>180</xdr:row>
      <xdr:rowOff>99060</xdr:rowOff>
    </xdr:to>
    <xdr:sp macro="" textlink="">
      <xdr:nvSpPr>
        <xdr:cNvPr id="22551" name="Text Box 23">
          <a:extLst>
            <a:ext uri="{FF2B5EF4-FFF2-40B4-BE49-F238E27FC236}">
              <a16:creationId xmlns:a16="http://schemas.microsoft.com/office/drawing/2014/main" id="{00000000-0008-0000-1200-000017580000}"/>
            </a:ext>
          </a:extLst>
        </xdr:cNvPr>
        <xdr:cNvSpPr txBox="1">
          <a:spLocks noChangeArrowheads="1"/>
        </xdr:cNvSpPr>
      </xdr:nvSpPr>
      <xdr:spPr bwMode="auto">
        <a:xfrm>
          <a:off x="12138660" y="38183820"/>
          <a:ext cx="10767060" cy="701040"/>
        </a:xfrm>
        <a:prstGeom prst="rect">
          <a:avLst/>
        </a:prstGeom>
        <a:solidFill>
          <a:srgbClr val="EAEAEA"/>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en-AU" sz="1200" b="0" i="0" u="none" strike="noStrike" baseline="0">
              <a:solidFill>
                <a:srgbClr val="000000"/>
              </a:solidFill>
              <a:latin typeface="Arial"/>
              <a:cs typeface="Arial"/>
            </a:rPr>
            <a:t>Note:</a:t>
          </a:r>
        </a:p>
        <a:p>
          <a:pPr algn="l" rtl="0">
            <a:defRPr sz="1000"/>
          </a:pPr>
          <a:r>
            <a:rPr lang="en-AU" sz="1200" b="0" i="0" u="none" strike="noStrike" baseline="0">
              <a:solidFill>
                <a:srgbClr val="000000"/>
              </a:solidFill>
              <a:latin typeface="Arial"/>
              <a:cs typeface="Arial"/>
            </a:rPr>
            <a:t>Adult Equivalents (AEs) for dry cattle are based on relativity to a standard weight of beast carried for 12 months.  One adult equivalent (AE) can be thought of as the amount of feed consumed in 12 months by a non-lactating animal of average weight 450 kg. Therefore, if average feed consumption is 2.2% of bodyweight, this would be equivalent to approx 3,650 kg dry matter per year for one AE.</a:t>
          </a:r>
        </a:p>
      </xdr:txBody>
    </xdr:sp>
    <xdr:clientData/>
  </xdr:twoCellAnchor>
  <xdr:twoCellAnchor>
    <xdr:from>
      <xdr:col>18</xdr:col>
      <xdr:colOff>441960</xdr:colOff>
      <xdr:row>0</xdr:row>
      <xdr:rowOff>0</xdr:rowOff>
    </xdr:from>
    <xdr:to>
      <xdr:col>20</xdr:col>
      <xdr:colOff>662940</xdr:colOff>
      <xdr:row>0</xdr:row>
      <xdr:rowOff>0</xdr:rowOff>
    </xdr:to>
    <xdr:sp macro="" textlink="">
      <xdr:nvSpPr>
        <xdr:cNvPr id="22552" name="AutoShape 24">
          <a:extLst>
            <a:ext uri="{FF2B5EF4-FFF2-40B4-BE49-F238E27FC236}">
              <a16:creationId xmlns:a16="http://schemas.microsoft.com/office/drawing/2014/main" id="{00000000-0008-0000-1200-000018580000}"/>
            </a:ext>
          </a:extLst>
        </xdr:cNvPr>
        <xdr:cNvSpPr>
          <a:spLocks noChangeArrowheads="1"/>
        </xdr:cNvSpPr>
      </xdr:nvSpPr>
      <xdr:spPr bwMode="auto">
        <a:xfrm>
          <a:off x="33268920" y="0"/>
          <a:ext cx="3238500" cy="0"/>
        </a:xfrm>
        <a:prstGeom prst="leftArrow">
          <a:avLst>
            <a:gd name="adj1" fmla="val 50000"/>
            <a:gd name="adj2" fmla="val -2147483648"/>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24</xdr:col>
      <xdr:colOff>144780</xdr:colOff>
      <xdr:row>0</xdr:row>
      <xdr:rowOff>0</xdr:rowOff>
    </xdr:from>
    <xdr:to>
      <xdr:col>24</xdr:col>
      <xdr:colOff>2606040</xdr:colOff>
      <xdr:row>0</xdr:row>
      <xdr:rowOff>0</xdr:rowOff>
    </xdr:to>
    <xdr:sp macro="" textlink="">
      <xdr:nvSpPr>
        <xdr:cNvPr id="22553" name="AutoShape 25">
          <a:extLst>
            <a:ext uri="{FF2B5EF4-FFF2-40B4-BE49-F238E27FC236}">
              <a16:creationId xmlns:a16="http://schemas.microsoft.com/office/drawing/2014/main" id="{00000000-0008-0000-1200-000019580000}"/>
            </a:ext>
          </a:extLst>
        </xdr:cNvPr>
        <xdr:cNvSpPr>
          <a:spLocks noChangeArrowheads="1"/>
        </xdr:cNvSpPr>
      </xdr:nvSpPr>
      <xdr:spPr bwMode="auto">
        <a:xfrm flipH="1">
          <a:off x="40789860" y="0"/>
          <a:ext cx="2461260" cy="0"/>
        </a:xfrm>
        <a:prstGeom prst="leftArrow">
          <a:avLst>
            <a:gd name="adj1" fmla="val 50000"/>
            <a:gd name="adj2" fmla="val -2147483648"/>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18</xdr:col>
      <xdr:colOff>441960</xdr:colOff>
      <xdr:row>0</xdr:row>
      <xdr:rowOff>0</xdr:rowOff>
    </xdr:from>
    <xdr:to>
      <xdr:col>20</xdr:col>
      <xdr:colOff>662940</xdr:colOff>
      <xdr:row>0</xdr:row>
      <xdr:rowOff>0</xdr:rowOff>
    </xdr:to>
    <xdr:sp macro="" textlink="">
      <xdr:nvSpPr>
        <xdr:cNvPr id="22554" name="AutoShape 26">
          <a:extLst>
            <a:ext uri="{FF2B5EF4-FFF2-40B4-BE49-F238E27FC236}">
              <a16:creationId xmlns:a16="http://schemas.microsoft.com/office/drawing/2014/main" id="{00000000-0008-0000-1200-00001A580000}"/>
            </a:ext>
          </a:extLst>
        </xdr:cNvPr>
        <xdr:cNvSpPr>
          <a:spLocks noChangeArrowheads="1"/>
        </xdr:cNvSpPr>
      </xdr:nvSpPr>
      <xdr:spPr bwMode="auto">
        <a:xfrm>
          <a:off x="33268920" y="0"/>
          <a:ext cx="3238500" cy="0"/>
        </a:xfrm>
        <a:prstGeom prst="leftArrow">
          <a:avLst>
            <a:gd name="adj1" fmla="val 50000"/>
            <a:gd name="adj2" fmla="val -2147483648"/>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24</xdr:col>
      <xdr:colOff>144780</xdr:colOff>
      <xdr:row>0</xdr:row>
      <xdr:rowOff>0</xdr:rowOff>
    </xdr:from>
    <xdr:to>
      <xdr:col>24</xdr:col>
      <xdr:colOff>2606040</xdr:colOff>
      <xdr:row>0</xdr:row>
      <xdr:rowOff>0</xdr:rowOff>
    </xdr:to>
    <xdr:sp macro="" textlink="">
      <xdr:nvSpPr>
        <xdr:cNvPr id="22555" name="AutoShape 27">
          <a:extLst>
            <a:ext uri="{FF2B5EF4-FFF2-40B4-BE49-F238E27FC236}">
              <a16:creationId xmlns:a16="http://schemas.microsoft.com/office/drawing/2014/main" id="{00000000-0008-0000-1200-00001B580000}"/>
            </a:ext>
          </a:extLst>
        </xdr:cNvPr>
        <xdr:cNvSpPr>
          <a:spLocks noChangeArrowheads="1"/>
        </xdr:cNvSpPr>
      </xdr:nvSpPr>
      <xdr:spPr bwMode="auto">
        <a:xfrm flipH="1">
          <a:off x="40789860" y="0"/>
          <a:ext cx="2461260" cy="0"/>
        </a:xfrm>
        <a:prstGeom prst="leftArrow">
          <a:avLst>
            <a:gd name="adj1" fmla="val 50000"/>
            <a:gd name="adj2" fmla="val -2147483648"/>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106680</xdr:colOff>
      <xdr:row>0</xdr:row>
      <xdr:rowOff>0</xdr:rowOff>
    </xdr:from>
    <xdr:to>
      <xdr:col>9</xdr:col>
      <xdr:colOff>1043940</xdr:colOff>
      <xdr:row>0</xdr:row>
      <xdr:rowOff>0</xdr:rowOff>
    </xdr:to>
    <xdr:sp macro="" textlink="">
      <xdr:nvSpPr>
        <xdr:cNvPr id="22556" name="TextBox 3">
          <a:extLst>
            <a:ext uri="{FF2B5EF4-FFF2-40B4-BE49-F238E27FC236}">
              <a16:creationId xmlns:a16="http://schemas.microsoft.com/office/drawing/2014/main" id="{00000000-0008-0000-1200-00001C580000}"/>
            </a:ext>
          </a:extLst>
        </xdr:cNvPr>
        <xdr:cNvSpPr txBox="1">
          <a:spLocks noChangeArrowheads="1"/>
        </xdr:cNvSpPr>
      </xdr:nvSpPr>
      <xdr:spPr bwMode="auto">
        <a:xfrm>
          <a:off x="9707880" y="0"/>
          <a:ext cx="9654540" cy="0"/>
        </a:xfrm>
        <a:prstGeom prst="rect">
          <a:avLst/>
        </a:prstGeom>
        <a:solidFill>
          <a:srgbClr val="EEECE1"/>
        </a:solidFill>
        <a:ln w="9525">
          <a:solidFill>
            <a:srgbClr val="000000"/>
          </a:solidFill>
          <a:miter lim="800000"/>
          <a:headEnd/>
          <a:tailEnd/>
        </a:ln>
      </xdr:spPr>
      <xdr:txBody>
        <a:bodyPr vertOverflow="clip" wrap="square" lIns="27432" tIns="18288" rIns="0" bIns="0" anchor="t"/>
        <a:lstStyle/>
        <a:p>
          <a:pPr algn="l" rtl="0">
            <a:defRPr sz="1000"/>
          </a:pPr>
          <a:r>
            <a:rPr lang="en-AU" sz="1200" b="0" i="0" u="none" strike="noStrike" baseline="0">
              <a:solidFill>
                <a:srgbClr val="000000"/>
              </a:solidFill>
              <a:latin typeface="Calibri"/>
              <a:cs typeface="Calibri"/>
            </a:rPr>
            <a:t>Please ensure that the values per head entered here reflect the  average value of the stock in the paddock at calving, not the market value when selling. The values you enter should reflect something along the lines of the values you might get in a "Clearout Sale".</a:t>
          </a:r>
        </a:p>
        <a:p>
          <a:pPr algn="l" rtl="0">
            <a:defRPr sz="1000"/>
          </a:pPr>
          <a:r>
            <a:rPr lang="en-AU" sz="1200" b="0" i="0" u="none" strike="noStrike" baseline="0">
              <a:solidFill>
                <a:srgbClr val="000000"/>
              </a:solidFill>
              <a:latin typeface="Calibri"/>
              <a:cs typeface="Calibri"/>
            </a:rPr>
            <a:t>These values are not used in this analysis to calculate the opportunity cost of livestock capital. Only the interest payable on the average annual livestock purchases is counted to allow comparison with other forages.  Please change the formula in D171 if all livestock capital is to be accounted for.</a:t>
          </a:r>
        </a:p>
      </xdr:txBody>
    </xdr:sp>
    <xdr:clientData/>
  </xdr:twoCellAnchor>
  <xdr:twoCellAnchor>
    <xdr:from>
      <xdr:col>18</xdr:col>
      <xdr:colOff>441960</xdr:colOff>
      <xdr:row>0</xdr:row>
      <xdr:rowOff>0</xdr:rowOff>
    </xdr:from>
    <xdr:to>
      <xdr:col>20</xdr:col>
      <xdr:colOff>662940</xdr:colOff>
      <xdr:row>0</xdr:row>
      <xdr:rowOff>0</xdr:rowOff>
    </xdr:to>
    <xdr:sp macro="" textlink="">
      <xdr:nvSpPr>
        <xdr:cNvPr id="22557" name="AutoShape 29">
          <a:extLst>
            <a:ext uri="{FF2B5EF4-FFF2-40B4-BE49-F238E27FC236}">
              <a16:creationId xmlns:a16="http://schemas.microsoft.com/office/drawing/2014/main" id="{00000000-0008-0000-1200-00001D580000}"/>
            </a:ext>
          </a:extLst>
        </xdr:cNvPr>
        <xdr:cNvSpPr>
          <a:spLocks noChangeArrowheads="1"/>
        </xdr:cNvSpPr>
      </xdr:nvSpPr>
      <xdr:spPr bwMode="auto">
        <a:xfrm>
          <a:off x="33268920" y="0"/>
          <a:ext cx="3238500" cy="0"/>
        </a:xfrm>
        <a:prstGeom prst="leftArrow">
          <a:avLst>
            <a:gd name="adj1" fmla="val 50000"/>
            <a:gd name="adj2" fmla="val -2147483648"/>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24</xdr:col>
      <xdr:colOff>144780</xdr:colOff>
      <xdr:row>0</xdr:row>
      <xdr:rowOff>0</xdr:rowOff>
    </xdr:from>
    <xdr:to>
      <xdr:col>24</xdr:col>
      <xdr:colOff>2606040</xdr:colOff>
      <xdr:row>0</xdr:row>
      <xdr:rowOff>0</xdr:rowOff>
    </xdr:to>
    <xdr:sp macro="" textlink="">
      <xdr:nvSpPr>
        <xdr:cNvPr id="22558" name="AutoShape 30">
          <a:extLst>
            <a:ext uri="{FF2B5EF4-FFF2-40B4-BE49-F238E27FC236}">
              <a16:creationId xmlns:a16="http://schemas.microsoft.com/office/drawing/2014/main" id="{00000000-0008-0000-1200-00001E580000}"/>
            </a:ext>
          </a:extLst>
        </xdr:cNvPr>
        <xdr:cNvSpPr>
          <a:spLocks noChangeArrowheads="1"/>
        </xdr:cNvSpPr>
      </xdr:nvSpPr>
      <xdr:spPr bwMode="auto">
        <a:xfrm flipH="1">
          <a:off x="40789860" y="0"/>
          <a:ext cx="2461260" cy="0"/>
        </a:xfrm>
        <a:prstGeom prst="leftArrow">
          <a:avLst>
            <a:gd name="adj1" fmla="val 50000"/>
            <a:gd name="adj2" fmla="val -2147483648"/>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22860</xdr:colOff>
      <xdr:row>0</xdr:row>
      <xdr:rowOff>0</xdr:rowOff>
    </xdr:from>
    <xdr:to>
      <xdr:col>10</xdr:col>
      <xdr:colOff>762000</xdr:colOff>
      <xdr:row>0</xdr:row>
      <xdr:rowOff>0</xdr:rowOff>
    </xdr:to>
    <xdr:sp macro="" textlink="">
      <xdr:nvSpPr>
        <xdr:cNvPr id="22559" name="Text Box 31">
          <a:extLst>
            <a:ext uri="{FF2B5EF4-FFF2-40B4-BE49-F238E27FC236}">
              <a16:creationId xmlns:a16="http://schemas.microsoft.com/office/drawing/2014/main" id="{00000000-0008-0000-1200-00001F580000}"/>
            </a:ext>
          </a:extLst>
        </xdr:cNvPr>
        <xdr:cNvSpPr txBox="1">
          <a:spLocks noChangeArrowheads="1"/>
        </xdr:cNvSpPr>
      </xdr:nvSpPr>
      <xdr:spPr bwMode="auto">
        <a:xfrm>
          <a:off x="9624060" y="0"/>
          <a:ext cx="11452860" cy="0"/>
        </a:xfrm>
        <a:prstGeom prst="rect">
          <a:avLst/>
        </a:prstGeom>
        <a:solidFill>
          <a:srgbClr val="EAEAEA"/>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en-AU" sz="1200" b="0" i="0" u="none" strike="noStrike" baseline="0">
              <a:solidFill>
                <a:srgbClr val="000000"/>
              </a:solidFill>
              <a:latin typeface="Arial"/>
              <a:cs typeface="Arial"/>
            </a:rPr>
            <a:t>Note:</a:t>
          </a:r>
        </a:p>
        <a:p>
          <a:pPr algn="l" rtl="0">
            <a:defRPr sz="1000"/>
          </a:pPr>
          <a:r>
            <a:rPr lang="en-AU" sz="1200" b="0" i="0" u="none" strike="noStrike" baseline="0">
              <a:solidFill>
                <a:srgbClr val="000000"/>
              </a:solidFill>
              <a:latin typeface="Arial"/>
              <a:cs typeface="Arial"/>
            </a:rPr>
            <a:t>Adult Equivalents (AEs) for dry cattle are based on relativity to a standard weight of beast carried for 12 months.  One adult equivalent (AE) can be thought of as the amount of feed consumed in 12 months by a non-lactating animal of average weight 450 kg. Therefore, if average feed consumption is 2.2% of bodyweight, this would be equivalent to approx 3,650 kg dry matter per year for one AE.</a:t>
          </a:r>
        </a:p>
      </xdr:txBody>
    </xdr:sp>
    <xdr:clientData/>
  </xdr:twoCellAnchor>
  <xdr:twoCellAnchor>
    <xdr:from>
      <xdr:col>18</xdr:col>
      <xdr:colOff>441960</xdr:colOff>
      <xdr:row>102</xdr:row>
      <xdr:rowOff>167640</xdr:rowOff>
    </xdr:from>
    <xdr:to>
      <xdr:col>20</xdr:col>
      <xdr:colOff>662940</xdr:colOff>
      <xdr:row>104</xdr:row>
      <xdr:rowOff>68580</xdr:rowOff>
    </xdr:to>
    <xdr:sp macro="" textlink="">
      <xdr:nvSpPr>
        <xdr:cNvPr id="22560" name="AutoShape 32">
          <a:extLst>
            <a:ext uri="{FF2B5EF4-FFF2-40B4-BE49-F238E27FC236}">
              <a16:creationId xmlns:a16="http://schemas.microsoft.com/office/drawing/2014/main" id="{00000000-0008-0000-1200-000020580000}"/>
            </a:ext>
          </a:extLst>
        </xdr:cNvPr>
        <xdr:cNvSpPr>
          <a:spLocks noChangeArrowheads="1"/>
        </xdr:cNvSpPr>
      </xdr:nvSpPr>
      <xdr:spPr bwMode="auto">
        <a:xfrm>
          <a:off x="33268920" y="23644860"/>
          <a:ext cx="3238500" cy="281940"/>
        </a:xfrm>
        <a:prstGeom prst="leftArrow">
          <a:avLst>
            <a:gd name="adj1" fmla="val 50000"/>
            <a:gd name="adj2" fmla="val 287162"/>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24</xdr:col>
      <xdr:colOff>144780</xdr:colOff>
      <xdr:row>103</xdr:row>
      <xdr:rowOff>68580</xdr:rowOff>
    </xdr:from>
    <xdr:to>
      <xdr:col>24</xdr:col>
      <xdr:colOff>2598420</xdr:colOff>
      <xdr:row>104</xdr:row>
      <xdr:rowOff>182880</xdr:rowOff>
    </xdr:to>
    <xdr:sp macro="" textlink="">
      <xdr:nvSpPr>
        <xdr:cNvPr id="22561" name="AutoShape 33">
          <a:extLst>
            <a:ext uri="{FF2B5EF4-FFF2-40B4-BE49-F238E27FC236}">
              <a16:creationId xmlns:a16="http://schemas.microsoft.com/office/drawing/2014/main" id="{00000000-0008-0000-1200-000021580000}"/>
            </a:ext>
          </a:extLst>
        </xdr:cNvPr>
        <xdr:cNvSpPr>
          <a:spLocks noChangeArrowheads="1"/>
        </xdr:cNvSpPr>
      </xdr:nvSpPr>
      <xdr:spPr bwMode="auto">
        <a:xfrm flipH="1">
          <a:off x="40789860" y="23736300"/>
          <a:ext cx="2453640" cy="304800"/>
        </a:xfrm>
        <a:prstGeom prst="leftArrow">
          <a:avLst>
            <a:gd name="adj1" fmla="val 50000"/>
            <a:gd name="adj2" fmla="val 201250"/>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22860</xdr:colOff>
      <xdr:row>176</xdr:row>
      <xdr:rowOff>160020</xdr:rowOff>
    </xdr:from>
    <xdr:to>
      <xdr:col>11</xdr:col>
      <xdr:colOff>762000</xdr:colOff>
      <xdr:row>180</xdr:row>
      <xdr:rowOff>99060</xdr:rowOff>
    </xdr:to>
    <xdr:sp macro="" textlink="">
      <xdr:nvSpPr>
        <xdr:cNvPr id="22562" name="Text Box 34">
          <a:extLst>
            <a:ext uri="{FF2B5EF4-FFF2-40B4-BE49-F238E27FC236}">
              <a16:creationId xmlns:a16="http://schemas.microsoft.com/office/drawing/2014/main" id="{00000000-0008-0000-1200-000022580000}"/>
            </a:ext>
          </a:extLst>
        </xdr:cNvPr>
        <xdr:cNvSpPr txBox="1">
          <a:spLocks noChangeArrowheads="1"/>
        </xdr:cNvSpPr>
      </xdr:nvSpPr>
      <xdr:spPr bwMode="auto">
        <a:xfrm>
          <a:off x="12138660" y="38183820"/>
          <a:ext cx="10767060" cy="701040"/>
        </a:xfrm>
        <a:prstGeom prst="rect">
          <a:avLst/>
        </a:prstGeom>
        <a:solidFill>
          <a:srgbClr val="EAEAEA"/>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en-AU" sz="1200" b="0" i="0" u="none" strike="noStrike" baseline="0">
              <a:solidFill>
                <a:srgbClr val="000000"/>
              </a:solidFill>
              <a:latin typeface="Arial"/>
              <a:cs typeface="Arial"/>
            </a:rPr>
            <a:t>Note:</a:t>
          </a:r>
        </a:p>
        <a:p>
          <a:pPr algn="l" rtl="0">
            <a:defRPr sz="1000"/>
          </a:pPr>
          <a:r>
            <a:rPr lang="en-AU" sz="1200" b="0" i="0" u="none" strike="noStrike" baseline="0">
              <a:solidFill>
                <a:srgbClr val="000000"/>
              </a:solidFill>
              <a:latin typeface="Arial"/>
              <a:cs typeface="Arial"/>
            </a:rPr>
            <a:t>Adult Equivalents (AEs) for dry cattle are based on relativity to a standard weight of beast carried for 12 months.  One adult equivalent (AE) can be thought of as the amount of feed consumed in 12 months by a non-lactating animal of average weight 450 kg. Therefore, if average feed consumption is 2.2% of bodyweight, this would be equivalent to approx 3,650 kg dry matter per year for one AE.</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18</xdr:col>
      <xdr:colOff>441960</xdr:colOff>
      <xdr:row>0</xdr:row>
      <xdr:rowOff>0</xdr:rowOff>
    </xdr:from>
    <xdr:to>
      <xdr:col>20</xdr:col>
      <xdr:colOff>662940</xdr:colOff>
      <xdr:row>0</xdr:row>
      <xdr:rowOff>0</xdr:rowOff>
    </xdr:to>
    <xdr:sp macro="" textlink="">
      <xdr:nvSpPr>
        <xdr:cNvPr id="9220" name="AutoShape 4">
          <a:extLst>
            <a:ext uri="{FF2B5EF4-FFF2-40B4-BE49-F238E27FC236}">
              <a16:creationId xmlns:a16="http://schemas.microsoft.com/office/drawing/2014/main" id="{00000000-0008-0000-1300-000004240000}"/>
            </a:ext>
          </a:extLst>
        </xdr:cNvPr>
        <xdr:cNvSpPr>
          <a:spLocks noChangeArrowheads="1"/>
        </xdr:cNvSpPr>
      </xdr:nvSpPr>
      <xdr:spPr bwMode="auto">
        <a:xfrm>
          <a:off x="33268920" y="0"/>
          <a:ext cx="3238500" cy="0"/>
        </a:xfrm>
        <a:prstGeom prst="leftArrow">
          <a:avLst>
            <a:gd name="adj1" fmla="val 50000"/>
            <a:gd name="adj2" fmla="val -2147483648"/>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24</xdr:col>
      <xdr:colOff>144780</xdr:colOff>
      <xdr:row>0</xdr:row>
      <xdr:rowOff>0</xdr:rowOff>
    </xdr:from>
    <xdr:to>
      <xdr:col>24</xdr:col>
      <xdr:colOff>2606040</xdr:colOff>
      <xdr:row>0</xdr:row>
      <xdr:rowOff>0</xdr:rowOff>
    </xdr:to>
    <xdr:sp macro="" textlink="">
      <xdr:nvSpPr>
        <xdr:cNvPr id="9221" name="AutoShape 5">
          <a:extLst>
            <a:ext uri="{FF2B5EF4-FFF2-40B4-BE49-F238E27FC236}">
              <a16:creationId xmlns:a16="http://schemas.microsoft.com/office/drawing/2014/main" id="{00000000-0008-0000-1300-000005240000}"/>
            </a:ext>
          </a:extLst>
        </xdr:cNvPr>
        <xdr:cNvSpPr>
          <a:spLocks noChangeArrowheads="1"/>
        </xdr:cNvSpPr>
      </xdr:nvSpPr>
      <xdr:spPr bwMode="auto">
        <a:xfrm flipH="1">
          <a:off x="40789860" y="0"/>
          <a:ext cx="2461260" cy="0"/>
        </a:xfrm>
        <a:prstGeom prst="leftArrow">
          <a:avLst>
            <a:gd name="adj1" fmla="val 50000"/>
            <a:gd name="adj2" fmla="val -2147483648"/>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18</xdr:col>
      <xdr:colOff>441960</xdr:colOff>
      <xdr:row>0</xdr:row>
      <xdr:rowOff>0</xdr:rowOff>
    </xdr:from>
    <xdr:to>
      <xdr:col>20</xdr:col>
      <xdr:colOff>662940</xdr:colOff>
      <xdr:row>0</xdr:row>
      <xdr:rowOff>0</xdr:rowOff>
    </xdr:to>
    <xdr:sp macro="" textlink="">
      <xdr:nvSpPr>
        <xdr:cNvPr id="9222" name="AutoShape 6">
          <a:extLst>
            <a:ext uri="{FF2B5EF4-FFF2-40B4-BE49-F238E27FC236}">
              <a16:creationId xmlns:a16="http://schemas.microsoft.com/office/drawing/2014/main" id="{00000000-0008-0000-1300-000006240000}"/>
            </a:ext>
          </a:extLst>
        </xdr:cNvPr>
        <xdr:cNvSpPr>
          <a:spLocks noChangeArrowheads="1"/>
        </xdr:cNvSpPr>
      </xdr:nvSpPr>
      <xdr:spPr bwMode="auto">
        <a:xfrm>
          <a:off x="33268920" y="0"/>
          <a:ext cx="3238500" cy="0"/>
        </a:xfrm>
        <a:prstGeom prst="leftArrow">
          <a:avLst>
            <a:gd name="adj1" fmla="val 50000"/>
            <a:gd name="adj2" fmla="val -2147483648"/>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24</xdr:col>
      <xdr:colOff>144780</xdr:colOff>
      <xdr:row>0</xdr:row>
      <xdr:rowOff>0</xdr:rowOff>
    </xdr:from>
    <xdr:to>
      <xdr:col>24</xdr:col>
      <xdr:colOff>2606040</xdr:colOff>
      <xdr:row>0</xdr:row>
      <xdr:rowOff>0</xdr:rowOff>
    </xdr:to>
    <xdr:sp macro="" textlink="">
      <xdr:nvSpPr>
        <xdr:cNvPr id="9223" name="AutoShape 7">
          <a:extLst>
            <a:ext uri="{FF2B5EF4-FFF2-40B4-BE49-F238E27FC236}">
              <a16:creationId xmlns:a16="http://schemas.microsoft.com/office/drawing/2014/main" id="{00000000-0008-0000-1300-000007240000}"/>
            </a:ext>
          </a:extLst>
        </xdr:cNvPr>
        <xdr:cNvSpPr>
          <a:spLocks noChangeArrowheads="1"/>
        </xdr:cNvSpPr>
      </xdr:nvSpPr>
      <xdr:spPr bwMode="auto">
        <a:xfrm flipH="1">
          <a:off x="40789860" y="0"/>
          <a:ext cx="2461260" cy="0"/>
        </a:xfrm>
        <a:prstGeom prst="leftArrow">
          <a:avLst>
            <a:gd name="adj1" fmla="val 50000"/>
            <a:gd name="adj2" fmla="val -2147483648"/>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106680</xdr:colOff>
      <xdr:row>0</xdr:row>
      <xdr:rowOff>0</xdr:rowOff>
    </xdr:from>
    <xdr:to>
      <xdr:col>9</xdr:col>
      <xdr:colOff>1043940</xdr:colOff>
      <xdr:row>0</xdr:row>
      <xdr:rowOff>0</xdr:rowOff>
    </xdr:to>
    <xdr:sp macro="" textlink="">
      <xdr:nvSpPr>
        <xdr:cNvPr id="9224" name="TextBox 3">
          <a:extLst>
            <a:ext uri="{FF2B5EF4-FFF2-40B4-BE49-F238E27FC236}">
              <a16:creationId xmlns:a16="http://schemas.microsoft.com/office/drawing/2014/main" id="{00000000-0008-0000-1300-000008240000}"/>
            </a:ext>
          </a:extLst>
        </xdr:cNvPr>
        <xdr:cNvSpPr txBox="1">
          <a:spLocks noChangeArrowheads="1"/>
        </xdr:cNvSpPr>
      </xdr:nvSpPr>
      <xdr:spPr bwMode="auto">
        <a:xfrm>
          <a:off x="9707880" y="0"/>
          <a:ext cx="9654540" cy="0"/>
        </a:xfrm>
        <a:prstGeom prst="rect">
          <a:avLst/>
        </a:prstGeom>
        <a:solidFill>
          <a:srgbClr val="EEECE1"/>
        </a:solidFill>
        <a:ln w="9525">
          <a:solidFill>
            <a:srgbClr val="000000"/>
          </a:solidFill>
          <a:miter lim="800000"/>
          <a:headEnd/>
          <a:tailEnd/>
        </a:ln>
      </xdr:spPr>
      <xdr:txBody>
        <a:bodyPr vertOverflow="clip" wrap="square" lIns="27432" tIns="18288" rIns="0" bIns="0" anchor="t"/>
        <a:lstStyle/>
        <a:p>
          <a:pPr algn="l" rtl="0">
            <a:defRPr sz="1000"/>
          </a:pPr>
          <a:r>
            <a:rPr lang="en-AU" sz="1200" b="0" i="0" u="none" strike="noStrike" baseline="0">
              <a:solidFill>
                <a:srgbClr val="000000"/>
              </a:solidFill>
              <a:latin typeface="Calibri"/>
              <a:cs typeface="Calibri"/>
            </a:rPr>
            <a:t>Please ensure that the values per head entered here reflect the  average value of the stock in the paddock at calving, not the market value when selling. The values you enter should reflect something along the lines of the values you might get in a "Clearout Sale".</a:t>
          </a:r>
        </a:p>
        <a:p>
          <a:pPr algn="l" rtl="0">
            <a:defRPr sz="1000"/>
          </a:pPr>
          <a:r>
            <a:rPr lang="en-AU" sz="1200" b="0" i="0" u="none" strike="noStrike" baseline="0">
              <a:solidFill>
                <a:srgbClr val="000000"/>
              </a:solidFill>
              <a:latin typeface="Calibri"/>
              <a:cs typeface="Calibri"/>
            </a:rPr>
            <a:t>These values are not used in this analysis to calculate the opportunity cost of livestock capital. Only the interest payable on the average annual livestock purchases is counted to allow comparison with other forages.  Please change the formula in D171 if all livestock capital is to be accounted for.</a:t>
          </a:r>
        </a:p>
      </xdr:txBody>
    </xdr:sp>
    <xdr:clientData/>
  </xdr:twoCellAnchor>
  <xdr:twoCellAnchor>
    <xdr:from>
      <xdr:col>18</xdr:col>
      <xdr:colOff>441960</xdr:colOff>
      <xdr:row>0</xdr:row>
      <xdr:rowOff>0</xdr:rowOff>
    </xdr:from>
    <xdr:to>
      <xdr:col>20</xdr:col>
      <xdr:colOff>662940</xdr:colOff>
      <xdr:row>0</xdr:row>
      <xdr:rowOff>0</xdr:rowOff>
    </xdr:to>
    <xdr:sp macro="" textlink="">
      <xdr:nvSpPr>
        <xdr:cNvPr id="9225" name="AutoShape 9">
          <a:extLst>
            <a:ext uri="{FF2B5EF4-FFF2-40B4-BE49-F238E27FC236}">
              <a16:creationId xmlns:a16="http://schemas.microsoft.com/office/drawing/2014/main" id="{00000000-0008-0000-1300-000009240000}"/>
            </a:ext>
          </a:extLst>
        </xdr:cNvPr>
        <xdr:cNvSpPr>
          <a:spLocks noChangeArrowheads="1"/>
        </xdr:cNvSpPr>
      </xdr:nvSpPr>
      <xdr:spPr bwMode="auto">
        <a:xfrm>
          <a:off x="33268920" y="0"/>
          <a:ext cx="3238500" cy="0"/>
        </a:xfrm>
        <a:prstGeom prst="leftArrow">
          <a:avLst>
            <a:gd name="adj1" fmla="val 50000"/>
            <a:gd name="adj2" fmla="val -2147483648"/>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24</xdr:col>
      <xdr:colOff>144780</xdr:colOff>
      <xdr:row>0</xdr:row>
      <xdr:rowOff>0</xdr:rowOff>
    </xdr:from>
    <xdr:to>
      <xdr:col>24</xdr:col>
      <xdr:colOff>2606040</xdr:colOff>
      <xdr:row>0</xdr:row>
      <xdr:rowOff>0</xdr:rowOff>
    </xdr:to>
    <xdr:sp macro="" textlink="">
      <xdr:nvSpPr>
        <xdr:cNvPr id="9226" name="AutoShape 10">
          <a:extLst>
            <a:ext uri="{FF2B5EF4-FFF2-40B4-BE49-F238E27FC236}">
              <a16:creationId xmlns:a16="http://schemas.microsoft.com/office/drawing/2014/main" id="{00000000-0008-0000-1300-00000A240000}"/>
            </a:ext>
          </a:extLst>
        </xdr:cNvPr>
        <xdr:cNvSpPr>
          <a:spLocks noChangeArrowheads="1"/>
        </xdr:cNvSpPr>
      </xdr:nvSpPr>
      <xdr:spPr bwMode="auto">
        <a:xfrm flipH="1">
          <a:off x="40789860" y="0"/>
          <a:ext cx="2461260" cy="0"/>
        </a:xfrm>
        <a:prstGeom prst="leftArrow">
          <a:avLst>
            <a:gd name="adj1" fmla="val 50000"/>
            <a:gd name="adj2" fmla="val -2147483648"/>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22860</xdr:colOff>
      <xdr:row>0</xdr:row>
      <xdr:rowOff>0</xdr:rowOff>
    </xdr:from>
    <xdr:to>
      <xdr:col>10</xdr:col>
      <xdr:colOff>762000</xdr:colOff>
      <xdr:row>0</xdr:row>
      <xdr:rowOff>0</xdr:rowOff>
    </xdr:to>
    <xdr:sp macro="" textlink="">
      <xdr:nvSpPr>
        <xdr:cNvPr id="9227" name="Text Box 11">
          <a:extLst>
            <a:ext uri="{FF2B5EF4-FFF2-40B4-BE49-F238E27FC236}">
              <a16:creationId xmlns:a16="http://schemas.microsoft.com/office/drawing/2014/main" id="{00000000-0008-0000-1300-00000B240000}"/>
            </a:ext>
          </a:extLst>
        </xdr:cNvPr>
        <xdr:cNvSpPr txBox="1">
          <a:spLocks noChangeArrowheads="1"/>
        </xdr:cNvSpPr>
      </xdr:nvSpPr>
      <xdr:spPr bwMode="auto">
        <a:xfrm>
          <a:off x="9624060" y="0"/>
          <a:ext cx="11452860" cy="0"/>
        </a:xfrm>
        <a:prstGeom prst="rect">
          <a:avLst/>
        </a:prstGeom>
        <a:solidFill>
          <a:srgbClr val="EAEAEA"/>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en-AU" sz="1200" b="0" i="0" u="none" strike="noStrike" baseline="0">
              <a:solidFill>
                <a:srgbClr val="000000"/>
              </a:solidFill>
              <a:latin typeface="Arial"/>
              <a:cs typeface="Arial"/>
            </a:rPr>
            <a:t>Note:</a:t>
          </a:r>
        </a:p>
        <a:p>
          <a:pPr algn="l" rtl="0">
            <a:defRPr sz="1000"/>
          </a:pPr>
          <a:r>
            <a:rPr lang="en-AU" sz="1200" b="0" i="0" u="none" strike="noStrike" baseline="0">
              <a:solidFill>
                <a:srgbClr val="000000"/>
              </a:solidFill>
              <a:latin typeface="Arial"/>
              <a:cs typeface="Arial"/>
            </a:rPr>
            <a:t>Adult Equivalents (AEs) for dry cattle are based on relativity to a standard weight of beast carried for 12 months.  One adult equivalent (AE) can be thought of as the amount of feed consumed in 12 months by a non-lactating animal of average weight 450 kg. Therefore, if average feed consumption is 2.2% of bodyweight, this would be equivalent to approx 3,650 kg dry matter per year for one AE.</a:t>
          </a:r>
        </a:p>
      </xdr:txBody>
    </xdr:sp>
    <xdr:clientData/>
  </xdr:twoCellAnchor>
  <xdr:twoCellAnchor>
    <xdr:from>
      <xdr:col>5</xdr:col>
      <xdr:colOff>22860</xdr:colOff>
      <xdr:row>233</xdr:row>
      <xdr:rowOff>160020</xdr:rowOff>
    </xdr:from>
    <xdr:to>
      <xdr:col>10</xdr:col>
      <xdr:colOff>762000</xdr:colOff>
      <xdr:row>237</xdr:row>
      <xdr:rowOff>99060</xdr:rowOff>
    </xdr:to>
    <xdr:sp macro="" textlink="">
      <xdr:nvSpPr>
        <xdr:cNvPr id="9229" name="Text Box 13">
          <a:extLst>
            <a:ext uri="{FF2B5EF4-FFF2-40B4-BE49-F238E27FC236}">
              <a16:creationId xmlns:a16="http://schemas.microsoft.com/office/drawing/2014/main" id="{00000000-0008-0000-1300-00000D240000}"/>
            </a:ext>
          </a:extLst>
        </xdr:cNvPr>
        <xdr:cNvSpPr txBox="1">
          <a:spLocks noChangeArrowheads="1"/>
        </xdr:cNvSpPr>
      </xdr:nvSpPr>
      <xdr:spPr bwMode="auto">
        <a:xfrm>
          <a:off x="9624060" y="49080420"/>
          <a:ext cx="11452860" cy="701040"/>
        </a:xfrm>
        <a:prstGeom prst="rect">
          <a:avLst/>
        </a:prstGeom>
        <a:solidFill>
          <a:srgbClr val="EAEAEA"/>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en-AU" sz="1200" b="0" i="0" u="none" strike="noStrike" baseline="0">
              <a:solidFill>
                <a:srgbClr val="000000"/>
              </a:solidFill>
              <a:latin typeface="Arial"/>
              <a:cs typeface="Arial"/>
            </a:rPr>
            <a:t>Note:</a:t>
          </a:r>
        </a:p>
        <a:p>
          <a:pPr algn="l" rtl="0">
            <a:defRPr sz="1000"/>
          </a:pPr>
          <a:r>
            <a:rPr lang="en-AU" sz="1200" b="0" i="0" u="none" strike="noStrike" baseline="0">
              <a:solidFill>
                <a:srgbClr val="000000"/>
              </a:solidFill>
              <a:latin typeface="Arial"/>
              <a:cs typeface="Arial"/>
            </a:rPr>
            <a:t>Adult Equivalents (AEs) for dry cattle are based on relativity to a standard weight of beast carried for 12 months.  One adult equivalent (AE) can be thought of as the amount of feed consumed in 12 months by a non-lactating animal of average weight 450 kg. Therefore, if average feed consumption is 2.2% of bodyweight, this would be equivalent to approx 3,650 kg dry matter per year for one AE.</a:t>
          </a:r>
        </a:p>
      </xdr:txBody>
    </xdr:sp>
    <xdr:clientData/>
  </xdr:twoCellAnchor>
  <xdr:twoCellAnchor>
    <xdr:from>
      <xdr:col>18</xdr:col>
      <xdr:colOff>441960</xdr:colOff>
      <xdr:row>147</xdr:row>
      <xdr:rowOff>167640</xdr:rowOff>
    </xdr:from>
    <xdr:to>
      <xdr:col>20</xdr:col>
      <xdr:colOff>662940</xdr:colOff>
      <xdr:row>149</xdr:row>
      <xdr:rowOff>68580</xdr:rowOff>
    </xdr:to>
    <xdr:sp macro="" textlink="">
      <xdr:nvSpPr>
        <xdr:cNvPr id="9230" name="AutoShape 14">
          <a:extLst>
            <a:ext uri="{FF2B5EF4-FFF2-40B4-BE49-F238E27FC236}">
              <a16:creationId xmlns:a16="http://schemas.microsoft.com/office/drawing/2014/main" id="{00000000-0008-0000-1300-00000E240000}"/>
            </a:ext>
          </a:extLst>
        </xdr:cNvPr>
        <xdr:cNvSpPr>
          <a:spLocks noChangeArrowheads="1"/>
        </xdr:cNvSpPr>
      </xdr:nvSpPr>
      <xdr:spPr bwMode="auto">
        <a:xfrm>
          <a:off x="33268920" y="32529780"/>
          <a:ext cx="3238500" cy="289560"/>
        </a:xfrm>
        <a:prstGeom prst="leftArrow">
          <a:avLst>
            <a:gd name="adj1" fmla="val 50000"/>
            <a:gd name="adj2" fmla="val 279605"/>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24</xdr:col>
      <xdr:colOff>144780</xdr:colOff>
      <xdr:row>148</xdr:row>
      <xdr:rowOff>68580</xdr:rowOff>
    </xdr:from>
    <xdr:to>
      <xdr:col>24</xdr:col>
      <xdr:colOff>2598420</xdr:colOff>
      <xdr:row>149</xdr:row>
      <xdr:rowOff>182880</xdr:rowOff>
    </xdr:to>
    <xdr:sp macro="" textlink="">
      <xdr:nvSpPr>
        <xdr:cNvPr id="9231" name="AutoShape 15">
          <a:extLst>
            <a:ext uri="{FF2B5EF4-FFF2-40B4-BE49-F238E27FC236}">
              <a16:creationId xmlns:a16="http://schemas.microsoft.com/office/drawing/2014/main" id="{00000000-0008-0000-1300-00000F240000}"/>
            </a:ext>
          </a:extLst>
        </xdr:cNvPr>
        <xdr:cNvSpPr>
          <a:spLocks noChangeArrowheads="1"/>
        </xdr:cNvSpPr>
      </xdr:nvSpPr>
      <xdr:spPr bwMode="auto">
        <a:xfrm flipH="1">
          <a:off x="40789860" y="32628840"/>
          <a:ext cx="2453640" cy="304800"/>
        </a:xfrm>
        <a:prstGeom prst="leftArrow">
          <a:avLst>
            <a:gd name="adj1" fmla="val 50000"/>
            <a:gd name="adj2" fmla="val 201250"/>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18</xdr:col>
      <xdr:colOff>441960</xdr:colOff>
      <xdr:row>0</xdr:row>
      <xdr:rowOff>0</xdr:rowOff>
    </xdr:from>
    <xdr:to>
      <xdr:col>20</xdr:col>
      <xdr:colOff>662940</xdr:colOff>
      <xdr:row>0</xdr:row>
      <xdr:rowOff>0</xdr:rowOff>
    </xdr:to>
    <xdr:sp macro="" textlink="">
      <xdr:nvSpPr>
        <xdr:cNvPr id="9232" name="AutoShape 16">
          <a:extLst>
            <a:ext uri="{FF2B5EF4-FFF2-40B4-BE49-F238E27FC236}">
              <a16:creationId xmlns:a16="http://schemas.microsoft.com/office/drawing/2014/main" id="{00000000-0008-0000-1300-000010240000}"/>
            </a:ext>
          </a:extLst>
        </xdr:cNvPr>
        <xdr:cNvSpPr>
          <a:spLocks noChangeArrowheads="1"/>
        </xdr:cNvSpPr>
      </xdr:nvSpPr>
      <xdr:spPr bwMode="auto">
        <a:xfrm>
          <a:off x="33268920" y="0"/>
          <a:ext cx="3238500" cy="0"/>
        </a:xfrm>
        <a:prstGeom prst="leftArrow">
          <a:avLst>
            <a:gd name="adj1" fmla="val 50000"/>
            <a:gd name="adj2" fmla="val -2147483648"/>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24</xdr:col>
      <xdr:colOff>144780</xdr:colOff>
      <xdr:row>0</xdr:row>
      <xdr:rowOff>0</xdr:rowOff>
    </xdr:from>
    <xdr:to>
      <xdr:col>24</xdr:col>
      <xdr:colOff>2606040</xdr:colOff>
      <xdr:row>0</xdr:row>
      <xdr:rowOff>0</xdr:rowOff>
    </xdr:to>
    <xdr:sp macro="" textlink="">
      <xdr:nvSpPr>
        <xdr:cNvPr id="9233" name="AutoShape 17">
          <a:extLst>
            <a:ext uri="{FF2B5EF4-FFF2-40B4-BE49-F238E27FC236}">
              <a16:creationId xmlns:a16="http://schemas.microsoft.com/office/drawing/2014/main" id="{00000000-0008-0000-1300-000011240000}"/>
            </a:ext>
          </a:extLst>
        </xdr:cNvPr>
        <xdr:cNvSpPr>
          <a:spLocks noChangeArrowheads="1"/>
        </xdr:cNvSpPr>
      </xdr:nvSpPr>
      <xdr:spPr bwMode="auto">
        <a:xfrm flipH="1">
          <a:off x="40789860" y="0"/>
          <a:ext cx="2461260" cy="0"/>
        </a:xfrm>
        <a:prstGeom prst="leftArrow">
          <a:avLst>
            <a:gd name="adj1" fmla="val 50000"/>
            <a:gd name="adj2" fmla="val -2147483648"/>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18</xdr:col>
      <xdr:colOff>441960</xdr:colOff>
      <xdr:row>0</xdr:row>
      <xdr:rowOff>0</xdr:rowOff>
    </xdr:from>
    <xdr:to>
      <xdr:col>20</xdr:col>
      <xdr:colOff>662940</xdr:colOff>
      <xdr:row>0</xdr:row>
      <xdr:rowOff>0</xdr:rowOff>
    </xdr:to>
    <xdr:sp macro="" textlink="">
      <xdr:nvSpPr>
        <xdr:cNvPr id="9234" name="AutoShape 18">
          <a:extLst>
            <a:ext uri="{FF2B5EF4-FFF2-40B4-BE49-F238E27FC236}">
              <a16:creationId xmlns:a16="http://schemas.microsoft.com/office/drawing/2014/main" id="{00000000-0008-0000-1300-000012240000}"/>
            </a:ext>
          </a:extLst>
        </xdr:cNvPr>
        <xdr:cNvSpPr>
          <a:spLocks noChangeArrowheads="1"/>
        </xdr:cNvSpPr>
      </xdr:nvSpPr>
      <xdr:spPr bwMode="auto">
        <a:xfrm>
          <a:off x="33268920" y="0"/>
          <a:ext cx="3238500" cy="0"/>
        </a:xfrm>
        <a:prstGeom prst="leftArrow">
          <a:avLst>
            <a:gd name="adj1" fmla="val 50000"/>
            <a:gd name="adj2" fmla="val -2147483648"/>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24</xdr:col>
      <xdr:colOff>144780</xdr:colOff>
      <xdr:row>0</xdr:row>
      <xdr:rowOff>0</xdr:rowOff>
    </xdr:from>
    <xdr:to>
      <xdr:col>24</xdr:col>
      <xdr:colOff>2606040</xdr:colOff>
      <xdr:row>0</xdr:row>
      <xdr:rowOff>0</xdr:rowOff>
    </xdr:to>
    <xdr:sp macro="" textlink="">
      <xdr:nvSpPr>
        <xdr:cNvPr id="9235" name="AutoShape 19">
          <a:extLst>
            <a:ext uri="{FF2B5EF4-FFF2-40B4-BE49-F238E27FC236}">
              <a16:creationId xmlns:a16="http://schemas.microsoft.com/office/drawing/2014/main" id="{00000000-0008-0000-1300-000013240000}"/>
            </a:ext>
          </a:extLst>
        </xdr:cNvPr>
        <xdr:cNvSpPr>
          <a:spLocks noChangeArrowheads="1"/>
        </xdr:cNvSpPr>
      </xdr:nvSpPr>
      <xdr:spPr bwMode="auto">
        <a:xfrm flipH="1">
          <a:off x="40789860" y="0"/>
          <a:ext cx="2461260" cy="0"/>
        </a:xfrm>
        <a:prstGeom prst="leftArrow">
          <a:avLst>
            <a:gd name="adj1" fmla="val 50000"/>
            <a:gd name="adj2" fmla="val -2147483648"/>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106680</xdr:colOff>
      <xdr:row>0</xdr:row>
      <xdr:rowOff>0</xdr:rowOff>
    </xdr:from>
    <xdr:to>
      <xdr:col>9</xdr:col>
      <xdr:colOff>1043940</xdr:colOff>
      <xdr:row>0</xdr:row>
      <xdr:rowOff>0</xdr:rowOff>
    </xdr:to>
    <xdr:sp macro="" textlink="">
      <xdr:nvSpPr>
        <xdr:cNvPr id="9236" name="TextBox 3">
          <a:extLst>
            <a:ext uri="{FF2B5EF4-FFF2-40B4-BE49-F238E27FC236}">
              <a16:creationId xmlns:a16="http://schemas.microsoft.com/office/drawing/2014/main" id="{00000000-0008-0000-1300-000014240000}"/>
            </a:ext>
          </a:extLst>
        </xdr:cNvPr>
        <xdr:cNvSpPr txBox="1">
          <a:spLocks noChangeArrowheads="1"/>
        </xdr:cNvSpPr>
      </xdr:nvSpPr>
      <xdr:spPr bwMode="auto">
        <a:xfrm>
          <a:off x="9707880" y="0"/>
          <a:ext cx="9654540" cy="0"/>
        </a:xfrm>
        <a:prstGeom prst="rect">
          <a:avLst/>
        </a:prstGeom>
        <a:solidFill>
          <a:srgbClr val="EEECE1"/>
        </a:solidFill>
        <a:ln w="9525">
          <a:solidFill>
            <a:srgbClr val="000000"/>
          </a:solidFill>
          <a:miter lim="800000"/>
          <a:headEnd/>
          <a:tailEnd/>
        </a:ln>
      </xdr:spPr>
      <xdr:txBody>
        <a:bodyPr vertOverflow="clip" wrap="square" lIns="27432" tIns="18288" rIns="0" bIns="0" anchor="t"/>
        <a:lstStyle/>
        <a:p>
          <a:pPr algn="l" rtl="0">
            <a:defRPr sz="1000"/>
          </a:pPr>
          <a:r>
            <a:rPr lang="en-AU" sz="1200" b="0" i="0" u="none" strike="noStrike" baseline="0">
              <a:solidFill>
                <a:srgbClr val="000000"/>
              </a:solidFill>
              <a:latin typeface="Calibri"/>
              <a:cs typeface="Calibri"/>
            </a:rPr>
            <a:t>Please ensure that the values per head entered here reflect the  average value of the stock in the paddock at calving, not the market value when selling. The values you enter should reflect something along the lines of the values you might get in a "Clearout Sale".</a:t>
          </a:r>
        </a:p>
        <a:p>
          <a:pPr algn="l" rtl="0">
            <a:defRPr sz="1000"/>
          </a:pPr>
          <a:r>
            <a:rPr lang="en-AU" sz="1200" b="0" i="0" u="none" strike="noStrike" baseline="0">
              <a:solidFill>
                <a:srgbClr val="000000"/>
              </a:solidFill>
              <a:latin typeface="Calibri"/>
              <a:cs typeface="Calibri"/>
            </a:rPr>
            <a:t>These values are not used in this analysis to calculate the opportunity cost of livestock capital. Only the interest payable on the average annual livestock purchases is counted to allow comparison with other forages.  Please change the formula in D171 if all livestock capital is to be accounted for.</a:t>
          </a:r>
        </a:p>
      </xdr:txBody>
    </xdr:sp>
    <xdr:clientData/>
  </xdr:twoCellAnchor>
  <xdr:twoCellAnchor>
    <xdr:from>
      <xdr:col>18</xdr:col>
      <xdr:colOff>441960</xdr:colOff>
      <xdr:row>0</xdr:row>
      <xdr:rowOff>0</xdr:rowOff>
    </xdr:from>
    <xdr:to>
      <xdr:col>20</xdr:col>
      <xdr:colOff>662940</xdr:colOff>
      <xdr:row>0</xdr:row>
      <xdr:rowOff>0</xdr:rowOff>
    </xdr:to>
    <xdr:sp macro="" textlink="">
      <xdr:nvSpPr>
        <xdr:cNvPr id="9237" name="AutoShape 21">
          <a:extLst>
            <a:ext uri="{FF2B5EF4-FFF2-40B4-BE49-F238E27FC236}">
              <a16:creationId xmlns:a16="http://schemas.microsoft.com/office/drawing/2014/main" id="{00000000-0008-0000-1300-000015240000}"/>
            </a:ext>
          </a:extLst>
        </xdr:cNvPr>
        <xdr:cNvSpPr>
          <a:spLocks noChangeArrowheads="1"/>
        </xdr:cNvSpPr>
      </xdr:nvSpPr>
      <xdr:spPr bwMode="auto">
        <a:xfrm>
          <a:off x="33268920" y="0"/>
          <a:ext cx="3238500" cy="0"/>
        </a:xfrm>
        <a:prstGeom prst="leftArrow">
          <a:avLst>
            <a:gd name="adj1" fmla="val 50000"/>
            <a:gd name="adj2" fmla="val -2147483648"/>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24</xdr:col>
      <xdr:colOff>144780</xdr:colOff>
      <xdr:row>0</xdr:row>
      <xdr:rowOff>0</xdr:rowOff>
    </xdr:from>
    <xdr:to>
      <xdr:col>24</xdr:col>
      <xdr:colOff>2606040</xdr:colOff>
      <xdr:row>0</xdr:row>
      <xdr:rowOff>0</xdr:rowOff>
    </xdr:to>
    <xdr:sp macro="" textlink="">
      <xdr:nvSpPr>
        <xdr:cNvPr id="9238" name="AutoShape 22">
          <a:extLst>
            <a:ext uri="{FF2B5EF4-FFF2-40B4-BE49-F238E27FC236}">
              <a16:creationId xmlns:a16="http://schemas.microsoft.com/office/drawing/2014/main" id="{00000000-0008-0000-1300-000016240000}"/>
            </a:ext>
          </a:extLst>
        </xdr:cNvPr>
        <xdr:cNvSpPr>
          <a:spLocks noChangeArrowheads="1"/>
        </xdr:cNvSpPr>
      </xdr:nvSpPr>
      <xdr:spPr bwMode="auto">
        <a:xfrm flipH="1">
          <a:off x="40789860" y="0"/>
          <a:ext cx="2461260" cy="0"/>
        </a:xfrm>
        <a:prstGeom prst="leftArrow">
          <a:avLst>
            <a:gd name="adj1" fmla="val 50000"/>
            <a:gd name="adj2" fmla="val -2147483648"/>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22860</xdr:colOff>
      <xdr:row>0</xdr:row>
      <xdr:rowOff>0</xdr:rowOff>
    </xdr:from>
    <xdr:to>
      <xdr:col>10</xdr:col>
      <xdr:colOff>762000</xdr:colOff>
      <xdr:row>0</xdr:row>
      <xdr:rowOff>0</xdr:rowOff>
    </xdr:to>
    <xdr:sp macro="" textlink="">
      <xdr:nvSpPr>
        <xdr:cNvPr id="9239" name="Text Box 23">
          <a:extLst>
            <a:ext uri="{FF2B5EF4-FFF2-40B4-BE49-F238E27FC236}">
              <a16:creationId xmlns:a16="http://schemas.microsoft.com/office/drawing/2014/main" id="{00000000-0008-0000-1300-000017240000}"/>
            </a:ext>
          </a:extLst>
        </xdr:cNvPr>
        <xdr:cNvSpPr txBox="1">
          <a:spLocks noChangeArrowheads="1"/>
        </xdr:cNvSpPr>
      </xdr:nvSpPr>
      <xdr:spPr bwMode="auto">
        <a:xfrm>
          <a:off x="9624060" y="0"/>
          <a:ext cx="11452860" cy="0"/>
        </a:xfrm>
        <a:prstGeom prst="rect">
          <a:avLst/>
        </a:prstGeom>
        <a:solidFill>
          <a:srgbClr val="EAEAEA"/>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en-AU" sz="1200" b="0" i="0" u="none" strike="noStrike" baseline="0">
              <a:solidFill>
                <a:srgbClr val="000000"/>
              </a:solidFill>
              <a:latin typeface="Arial"/>
              <a:cs typeface="Arial"/>
            </a:rPr>
            <a:t>Note:</a:t>
          </a:r>
        </a:p>
        <a:p>
          <a:pPr algn="l" rtl="0">
            <a:defRPr sz="1000"/>
          </a:pPr>
          <a:r>
            <a:rPr lang="en-AU" sz="1200" b="0" i="0" u="none" strike="noStrike" baseline="0">
              <a:solidFill>
                <a:srgbClr val="000000"/>
              </a:solidFill>
              <a:latin typeface="Arial"/>
              <a:cs typeface="Arial"/>
            </a:rPr>
            <a:t>Adult Equivalents (AEs) for dry cattle are based on relativity to a standard weight of beast carried for 12 months.  One adult equivalent (AE) can be thought of as the amount of feed consumed in 12 months by a non-lactating animal of average weight 450 kg. Therefore, if average feed consumption is 2.2% of bodyweight, this would be equivalent to approx 3,650 kg dry matter per year for one AE.</a:t>
          </a:r>
        </a:p>
      </xdr:txBody>
    </xdr:sp>
    <xdr:clientData/>
  </xdr:twoCellAnchor>
  <xdr:twoCellAnchor>
    <xdr:from>
      <xdr:col>18</xdr:col>
      <xdr:colOff>441960</xdr:colOff>
      <xdr:row>102</xdr:row>
      <xdr:rowOff>167640</xdr:rowOff>
    </xdr:from>
    <xdr:to>
      <xdr:col>20</xdr:col>
      <xdr:colOff>662940</xdr:colOff>
      <xdr:row>104</xdr:row>
      <xdr:rowOff>68580</xdr:rowOff>
    </xdr:to>
    <xdr:sp macro="" textlink="">
      <xdr:nvSpPr>
        <xdr:cNvPr id="9240" name="AutoShape 24">
          <a:extLst>
            <a:ext uri="{FF2B5EF4-FFF2-40B4-BE49-F238E27FC236}">
              <a16:creationId xmlns:a16="http://schemas.microsoft.com/office/drawing/2014/main" id="{00000000-0008-0000-1300-000018240000}"/>
            </a:ext>
          </a:extLst>
        </xdr:cNvPr>
        <xdr:cNvSpPr>
          <a:spLocks noChangeArrowheads="1"/>
        </xdr:cNvSpPr>
      </xdr:nvSpPr>
      <xdr:spPr bwMode="auto">
        <a:xfrm>
          <a:off x="33268920" y="23644860"/>
          <a:ext cx="3238500" cy="281940"/>
        </a:xfrm>
        <a:prstGeom prst="leftArrow">
          <a:avLst>
            <a:gd name="adj1" fmla="val 50000"/>
            <a:gd name="adj2" fmla="val 287162"/>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24</xdr:col>
      <xdr:colOff>144780</xdr:colOff>
      <xdr:row>103</xdr:row>
      <xdr:rowOff>68580</xdr:rowOff>
    </xdr:from>
    <xdr:to>
      <xdr:col>24</xdr:col>
      <xdr:colOff>2598420</xdr:colOff>
      <xdr:row>104</xdr:row>
      <xdr:rowOff>182880</xdr:rowOff>
    </xdr:to>
    <xdr:sp macro="" textlink="">
      <xdr:nvSpPr>
        <xdr:cNvPr id="9241" name="AutoShape 25">
          <a:extLst>
            <a:ext uri="{FF2B5EF4-FFF2-40B4-BE49-F238E27FC236}">
              <a16:creationId xmlns:a16="http://schemas.microsoft.com/office/drawing/2014/main" id="{00000000-0008-0000-1300-000019240000}"/>
            </a:ext>
          </a:extLst>
        </xdr:cNvPr>
        <xdr:cNvSpPr>
          <a:spLocks noChangeArrowheads="1"/>
        </xdr:cNvSpPr>
      </xdr:nvSpPr>
      <xdr:spPr bwMode="auto">
        <a:xfrm flipH="1">
          <a:off x="40789860" y="23736300"/>
          <a:ext cx="2453640" cy="304800"/>
        </a:xfrm>
        <a:prstGeom prst="leftArrow">
          <a:avLst>
            <a:gd name="adj1" fmla="val 50000"/>
            <a:gd name="adj2" fmla="val 201250"/>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22860</xdr:colOff>
      <xdr:row>176</xdr:row>
      <xdr:rowOff>160020</xdr:rowOff>
    </xdr:from>
    <xdr:to>
      <xdr:col>11</xdr:col>
      <xdr:colOff>762000</xdr:colOff>
      <xdr:row>180</xdr:row>
      <xdr:rowOff>99060</xdr:rowOff>
    </xdr:to>
    <xdr:sp macro="" textlink="">
      <xdr:nvSpPr>
        <xdr:cNvPr id="9242" name="Text Box 26">
          <a:extLst>
            <a:ext uri="{FF2B5EF4-FFF2-40B4-BE49-F238E27FC236}">
              <a16:creationId xmlns:a16="http://schemas.microsoft.com/office/drawing/2014/main" id="{00000000-0008-0000-1300-00001A240000}"/>
            </a:ext>
          </a:extLst>
        </xdr:cNvPr>
        <xdr:cNvSpPr txBox="1">
          <a:spLocks noChangeArrowheads="1"/>
        </xdr:cNvSpPr>
      </xdr:nvSpPr>
      <xdr:spPr bwMode="auto">
        <a:xfrm>
          <a:off x="12138660" y="38221920"/>
          <a:ext cx="10767060" cy="701040"/>
        </a:xfrm>
        <a:prstGeom prst="rect">
          <a:avLst/>
        </a:prstGeom>
        <a:solidFill>
          <a:srgbClr val="EAEAEA"/>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en-AU" sz="1200" b="0" i="0" u="none" strike="noStrike" baseline="0">
              <a:solidFill>
                <a:srgbClr val="000000"/>
              </a:solidFill>
              <a:latin typeface="Arial"/>
              <a:cs typeface="Arial"/>
            </a:rPr>
            <a:t>Note:</a:t>
          </a:r>
        </a:p>
        <a:p>
          <a:pPr algn="l" rtl="0">
            <a:defRPr sz="1000"/>
          </a:pPr>
          <a:r>
            <a:rPr lang="en-AU" sz="1200" b="0" i="0" u="none" strike="noStrike" baseline="0">
              <a:solidFill>
                <a:srgbClr val="000000"/>
              </a:solidFill>
              <a:latin typeface="Arial"/>
              <a:cs typeface="Arial"/>
            </a:rPr>
            <a:t>Adult Equivalents (AEs) for dry cattle are based on relativity to a standard weight of beast carried for 12 months.  One adult equivalent (AE) can be thought of as the amount of feed consumed in 12 months by a non-lactating animal of average weight 450 kg. Therefore, if average feed consumption is 2.2% of bodyweight, this would be equivalent to approx 3,650 kg dry matter per year for one AE.</a:t>
          </a:r>
        </a:p>
      </xdr:txBody>
    </xdr:sp>
    <xdr:clientData/>
  </xdr:twoCellAnchor>
  <xdr:twoCellAnchor>
    <xdr:from>
      <xdr:col>18</xdr:col>
      <xdr:colOff>441960</xdr:colOff>
      <xdr:row>0</xdr:row>
      <xdr:rowOff>0</xdr:rowOff>
    </xdr:from>
    <xdr:to>
      <xdr:col>20</xdr:col>
      <xdr:colOff>662940</xdr:colOff>
      <xdr:row>0</xdr:row>
      <xdr:rowOff>0</xdr:rowOff>
    </xdr:to>
    <xdr:sp macro="" textlink="">
      <xdr:nvSpPr>
        <xdr:cNvPr id="9243" name="AutoShape 27">
          <a:extLst>
            <a:ext uri="{FF2B5EF4-FFF2-40B4-BE49-F238E27FC236}">
              <a16:creationId xmlns:a16="http://schemas.microsoft.com/office/drawing/2014/main" id="{00000000-0008-0000-1300-00001B240000}"/>
            </a:ext>
          </a:extLst>
        </xdr:cNvPr>
        <xdr:cNvSpPr>
          <a:spLocks noChangeArrowheads="1"/>
        </xdr:cNvSpPr>
      </xdr:nvSpPr>
      <xdr:spPr bwMode="auto">
        <a:xfrm>
          <a:off x="33268920" y="0"/>
          <a:ext cx="3238500" cy="0"/>
        </a:xfrm>
        <a:prstGeom prst="leftArrow">
          <a:avLst>
            <a:gd name="adj1" fmla="val 50000"/>
            <a:gd name="adj2" fmla="val -2147483648"/>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24</xdr:col>
      <xdr:colOff>144780</xdr:colOff>
      <xdr:row>0</xdr:row>
      <xdr:rowOff>0</xdr:rowOff>
    </xdr:from>
    <xdr:to>
      <xdr:col>24</xdr:col>
      <xdr:colOff>2606040</xdr:colOff>
      <xdr:row>0</xdr:row>
      <xdr:rowOff>0</xdr:rowOff>
    </xdr:to>
    <xdr:sp macro="" textlink="">
      <xdr:nvSpPr>
        <xdr:cNvPr id="9244" name="AutoShape 28">
          <a:extLst>
            <a:ext uri="{FF2B5EF4-FFF2-40B4-BE49-F238E27FC236}">
              <a16:creationId xmlns:a16="http://schemas.microsoft.com/office/drawing/2014/main" id="{00000000-0008-0000-1300-00001C240000}"/>
            </a:ext>
          </a:extLst>
        </xdr:cNvPr>
        <xdr:cNvSpPr>
          <a:spLocks noChangeArrowheads="1"/>
        </xdr:cNvSpPr>
      </xdr:nvSpPr>
      <xdr:spPr bwMode="auto">
        <a:xfrm flipH="1">
          <a:off x="40789860" y="0"/>
          <a:ext cx="2461260" cy="0"/>
        </a:xfrm>
        <a:prstGeom prst="leftArrow">
          <a:avLst>
            <a:gd name="adj1" fmla="val 50000"/>
            <a:gd name="adj2" fmla="val -2147483648"/>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18</xdr:col>
      <xdr:colOff>441960</xdr:colOff>
      <xdr:row>0</xdr:row>
      <xdr:rowOff>0</xdr:rowOff>
    </xdr:from>
    <xdr:to>
      <xdr:col>20</xdr:col>
      <xdr:colOff>662940</xdr:colOff>
      <xdr:row>0</xdr:row>
      <xdr:rowOff>0</xdr:rowOff>
    </xdr:to>
    <xdr:sp macro="" textlink="">
      <xdr:nvSpPr>
        <xdr:cNvPr id="9245" name="AutoShape 29">
          <a:extLst>
            <a:ext uri="{FF2B5EF4-FFF2-40B4-BE49-F238E27FC236}">
              <a16:creationId xmlns:a16="http://schemas.microsoft.com/office/drawing/2014/main" id="{00000000-0008-0000-1300-00001D240000}"/>
            </a:ext>
          </a:extLst>
        </xdr:cNvPr>
        <xdr:cNvSpPr>
          <a:spLocks noChangeArrowheads="1"/>
        </xdr:cNvSpPr>
      </xdr:nvSpPr>
      <xdr:spPr bwMode="auto">
        <a:xfrm>
          <a:off x="33268920" y="0"/>
          <a:ext cx="3238500" cy="0"/>
        </a:xfrm>
        <a:prstGeom prst="leftArrow">
          <a:avLst>
            <a:gd name="adj1" fmla="val 50000"/>
            <a:gd name="adj2" fmla="val -2147483648"/>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24</xdr:col>
      <xdr:colOff>144780</xdr:colOff>
      <xdr:row>0</xdr:row>
      <xdr:rowOff>0</xdr:rowOff>
    </xdr:from>
    <xdr:to>
      <xdr:col>24</xdr:col>
      <xdr:colOff>2606040</xdr:colOff>
      <xdr:row>0</xdr:row>
      <xdr:rowOff>0</xdr:rowOff>
    </xdr:to>
    <xdr:sp macro="" textlink="">
      <xdr:nvSpPr>
        <xdr:cNvPr id="9246" name="AutoShape 30">
          <a:extLst>
            <a:ext uri="{FF2B5EF4-FFF2-40B4-BE49-F238E27FC236}">
              <a16:creationId xmlns:a16="http://schemas.microsoft.com/office/drawing/2014/main" id="{00000000-0008-0000-1300-00001E240000}"/>
            </a:ext>
          </a:extLst>
        </xdr:cNvPr>
        <xdr:cNvSpPr>
          <a:spLocks noChangeArrowheads="1"/>
        </xdr:cNvSpPr>
      </xdr:nvSpPr>
      <xdr:spPr bwMode="auto">
        <a:xfrm flipH="1">
          <a:off x="40789860" y="0"/>
          <a:ext cx="2461260" cy="0"/>
        </a:xfrm>
        <a:prstGeom prst="leftArrow">
          <a:avLst>
            <a:gd name="adj1" fmla="val 50000"/>
            <a:gd name="adj2" fmla="val -2147483648"/>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106680</xdr:colOff>
      <xdr:row>0</xdr:row>
      <xdr:rowOff>0</xdr:rowOff>
    </xdr:from>
    <xdr:to>
      <xdr:col>9</xdr:col>
      <xdr:colOff>1043940</xdr:colOff>
      <xdr:row>0</xdr:row>
      <xdr:rowOff>0</xdr:rowOff>
    </xdr:to>
    <xdr:sp macro="" textlink="">
      <xdr:nvSpPr>
        <xdr:cNvPr id="9247" name="TextBox 3">
          <a:extLst>
            <a:ext uri="{FF2B5EF4-FFF2-40B4-BE49-F238E27FC236}">
              <a16:creationId xmlns:a16="http://schemas.microsoft.com/office/drawing/2014/main" id="{00000000-0008-0000-1300-00001F240000}"/>
            </a:ext>
          </a:extLst>
        </xdr:cNvPr>
        <xdr:cNvSpPr txBox="1">
          <a:spLocks noChangeArrowheads="1"/>
        </xdr:cNvSpPr>
      </xdr:nvSpPr>
      <xdr:spPr bwMode="auto">
        <a:xfrm>
          <a:off x="9707880" y="0"/>
          <a:ext cx="9654540" cy="0"/>
        </a:xfrm>
        <a:prstGeom prst="rect">
          <a:avLst/>
        </a:prstGeom>
        <a:solidFill>
          <a:srgbClr val="EEECE1"/>
        </a:solidFill>
        <a:ln w="9525">
          <a:solidFill>
            <a:srgbClr val="000000"/>
          </a:solidFill>
          <a:miter lim="800000"/>
          <a:headEnd/>
          <a:tailEnd/>
        </a:ln>
      </xdr:spPr>
      <xdr:txBody>
        <a:bodyPr vertOverflow="clip" wrap="square" lIns="27432" tIns="18288" rIns="0" bIns="0" anchor="t"/>
        <a:lstStyle/>
        <a:p>
          <a:pPr algn="l" rtl="0">
            <a:defRPr sz="1000"/>
          </a:pPr>
          <a:r>
            <a:rPr lang="en-AU" sz="1200" b="0" i="0" u="none" strike="noStrike" baseline="0">
              <a:solidFill>
                <a:srgbClr val="000000"/>
              </a:solidFill>
              <a:latin typeface="Calibri"/>
              <a:cs typeface="Calibri"/>
            </a:rPr>
            <a:t>Please ensure that the values per head entered here reflect the  average value of the stock in the paddock at calving, not the market value when selling. The values you enter should reflect something along the lines of the values you might get in a "Clearout Sale".</a:t>
          </a:r>
        </a:p>
        <a:p>
          <a:pPr algn="l" rtl="0">
            <a:defRPr sz="1000"/>
          </a:pPr>
          <a:r>
            <a:rPr lang="en-AU" sz="1200" b="0" i="0" u="none" strike="noStrike" baseline="0">
              <a:solidFill>
                <a:srgbClr val="000000"/>
              </a:solidFill>
              <a:latin typeface="Calibri"/>
              <a:cs typeface="Calibri"/>
            </a:rPr>
            <a:t>These values are not used in this analysis to calculate the opportunity cost of livestock capital. Only the interest payable on the average annual livestock purchases is counted to allow comparison with other forages.  Please change the formula in D171 if all livestock capital is to be accounted for.</a:t>
          </a:r>
        </a:p>
      </xdr:txBody>
    </xdr:sp>
    <xdr:clientData/>
  </xdr:twoCellAnchor>
  <xdr:twoCellAnchor>
    <xdr:from>
      <xdr:col>18</xdr:col>
      <xdr:colOff>441960</xdr:colOff>
      <xdr:row>0</xdr:row>
      <xdr:rowOff>0</xdr:rowOff>
    </xdr:from>
    <xdr:to>
      <xdr:col>20</xdr:col>
      <xdr:colOff>662940</xdr:colOff>
      <xdr:row>0</xdr:row>
      <xdr:rowOff>0</xdr:rowOff>
    </xdr:to>
    <xdr:sp macro="" textlink="">
      <xdr:nvSpPr>
        <xdr:cNvPr id="9248" name="AutoShape 32">
          <a:extLst>
            <a:ext uri="{FF2B5EF4-FFF2-40B4-BE49-F238E27FC236}">
              <a16:creationId xmlns:a16="http://schemas.microsoft.com/office/drawing/2014/main" id="{00000000-0008-0000-1300-000020240000}"/>
            </a:ext>
          </a:extLst>
        </xdr:cNvPr>
        <xdr:cNvSpPr>
          <a:spLocks noChangeArrowheads="1"/>
        </xdr:cNvSpPr>
      </xdr:nvSpPr>
      <xdr:spPr bwMode="auto">
        <a:xfrm>
          <a:off x="33268920" y="0"/>
          <a:ext cx="3238500" cy="0"/>
        </a:xfrm>
        <a:prstGeom prst="leftArrow">
          <a:avLst>
            <a:gd name="adj1" fmla="val 50000"/>
            <a:gd name="adj2" fmla="val -2147483648"/>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24</xdr:col>
      <xdr:colOff>144780</xdr:colOff>
      <xdr:row>0</xdr:row>
      <xdr:rowOff>0</xdr:rowOff>
    </xdr:from>
    <xdr:to>
      <xdr:col>24</xdr:col>
      <xdr:colOff>2606040</xdr:colOff>
      <xdr:row>0</xdr:row>
      <xdr:rowOff>0</xdr:rowOff>
    </xdr:to>
    <xdr:sp macro="" textlink="">
      <xdr:nvSpPr>
        <xdr:cNvPr id="9249" name="AutoShape 33">
          <a:extLst>
            <a:ext uri="{FF2B5EF4-FFF2-40B4-BE49-F238E27FC236}">
              <a16:creationId xmlns:a16="http://schemas.microsoft.com/office/drawing/2014/main" id="{00000000-0008-0000-1300-000021240000}"/>
            </a:ext>
          </a:extLst>
        </xdr:cNvPr>
        <xdr:cNvSpPr>
          <a:spLocks noChangeArrowheads="1"/>
        </xdr:cNvSpPr>
      </xdr:nvSpPr>
      <xdr:spPr bwMode="auto">
        <a:xfrm flipH="1">
          <a:off x="40789860" y="0"/>
          <a:ext cx="2461260" cy="0"/>
        </a:xfrm>
        <a:prstGeom prst="leftArrow">
          <a:avLst>
            <a:gd name="adj1" fmla="val 50000"/>
            <a:gd name="adj2" fmla="val -2147483648"/>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22860</xdr:colOff>
      <xdr:row>0</xdr:row>
      <xdr:rowOff>0</xdr:rowOff>
    </xdr:from>
    <xdr:to>
      <xdr:col>10</xdr:col>
      <xdr:colOff>762000</xdr:colOff>
      <xdr:row>0</xdr:row>
      <xdr:rowOff>0</xdr:rowOff>
    </xdr:to>
    <xdr:sp macro="" textlink="">
      <xdr:nvSpPr>
        <xdr:cNvPr id="9250" name="Text Box 34">
          <a:extLst>
            <a:ext uri="{FF2B5EF4-FFF2-40B4-BE49-F238E27FC236}">
              <a16:creationId xmlns:a16="http://schemas.microsoft.com/office/drawing/2014/main" id="{00000000-0008-0000-1300-000022240000}"/>
            </a:ext>
          </a:extLst>
        </xdr:cNvPr>
        <xdr:cNvSpPr txBox="1">
          <a:spLocks noChangeArrowheads="1"/>
        </xdr:cNvSpPr>
      </xdr:nvSpPr>
      <xdr:spPr bwMode="auto">
        <a:xfrm>
          <a:off x="9624060" y="0"/>
          <a:ext cx="11452860" cy="0"/>
        </a:xfrm>
        <a:prstGeom prst="rect">
          <a:avLst/>
        </a:prstGeom>
        <a:solidFill>
          <a:srgbClr val="EAEAEA"/>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en-AU" sz="1200" b="0" i="0" u="none" strike="noStrike" baseline="0">
              <a:solidFill>
                <a:srgbClr val="000000"/>
              </a:solidFill>
              <a:latin typeface="Arial"/>
              <a:cs typeface="Arial"/>
            </a:rPr>
            <a:t>Note:</a:t>
          </a:r>
        </a:p>
        <a:p>
          <a:pPr algn="l" rtl="0">
            <a:defRPr sz="1000"/>
          </a:pPr>
          <a:r>
            <a:rPr lang="en-AU" sz="1200" b="0" i="0" u="none" strike="noStrike" baseline="0">
              <a:solidFill>
                <a:srgbClr val="000000"/>
              </a:solidFill>
              <a:latin typeface="Arial"/>
              <a:cs typeface="Arial"/>
            </a:rPr>
            <a:t>Adult Equivalents (AEs) for dry cattle are based on relativity to a standard weight of beast carried for 12 months.  One adult equivalent (AE) can be thought of as the amount of feed consumed in 12 months by a non-lactating animal of average weight 450 kg. Therefore, if average feed consumption is 2.2% of bodyweight, this would be equivalent to approx 3,650 kg dry matter per year for one AE.</a:t>
          </a:r>
        </a:p>
      </xdr:txBody>
    </xdr:sp>
    <xdr:clientData/>
  </xdr:twoCellAnchor>
  <xdr:twoCellAnchor>
    <xdr:from>
      <xdr:col>18</xdr:col>
      <xdr:colOff>441960</xdr:colOff>
      <xdr:row>102</xdr:row>
      <xdr:rowOff>167640</xdr:rowOff>
    </xdr:from>
    <xdr:to>
      <xdr:col>20</xdr:col>
      <xdr:colOff>662940</xdr:colOff>
      <xdr:row>104</xdr:row>
      <xdr:rowOff>68580</xdr:rowOff>
    </xdr:to>
    <xdr:sp macro="" textlink="">
      <xdr:nvSpPr>
        <xdr:cNvPr id="9251" name="AutoShape 35">
          <a:extLst>
            <a:ext uri="{FF2B5EF4-FFF2-40B4-BE49-F238E27FC236}">
              <a16:creationId xmlns:a16="http://schemas.microsoft.com/office/drawing/2014/main" id="{00000000-0008-0000-1300-000023240000}"/>
            </a:ext>
          </a:extLst>
        </xdr:cNvPr>
        <xdr:cNvSpPr>
          <a:spLocks noChangeArrowheads="1"/>
        </xdr:cNvSpPr>
      </xdr:nvSpPr>
      <xdr:spPr bwMode="auto">
        <a:xfrm>
          <a:off x="33268920" y="23644860"/>
          <a:ext cx="3238500" cy="281940"/>
        </a:xfrm>
        <a:prstGeom prst="leftArrow">
          <a:avLst>
            <a:gd name="adj1" fmla="val 50000"/>
            <a:gd name="adj2" fmla="val 287162"/>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24</xdr:col>
      <xdr:colOff>144780</xdr:colOff>
      <xdr:row>103</xdr:row>
      <xdr:rowOff>68580</xdr:rowOff>
    </xdr:from>
    <xdr:to>
      <xdr:col>24</xdr:col>
      <xdr:colOff>2598420</xdr:colOff>
      <xdr:row>104</xdr:row>
      <xdr:rowOff>182880</xdr:rowOff>
    </xdr:to>
    <xdr:sp macro="" textlink="">
      <xdr:nvSpPr>
        <xdr:cNvPr id="9252" name="AutoShape 36">
          <a:extLst>
            <a:ext uri="{FF2B5EF4-FFF2-40B4-BE49-F238E27FC236}">
              <a16:creationId xmlns:a16="http://schemas.microsoft.com/office/drawing/2014/main" id="{00000000-0008-0000-1300-000024240000}"/>
            </a:ext>
          </a:extLst>
        </xdr:cNvPr>
        <xdr:cNvSpPr>
          <a:spLocks noChangeArrowheads="1"/>
        </xdr:cNvSpPr>
      </xdr:nvSpPr>
      <xdr:spPr bwMode="auto">
        <a:xfrm flipH="1">
          <a:off x="40789860" y="23736300"/>
          <a:ext cx="2453640" cy="304800"/>
        </a:xfrm>
        <a:prstGeom prst="leftArrow">
          <a:avLst>
            <a:gd name="adj1" fmla="val 50000"/>
            <a:gd name="adj2" fmla="val 201250"/>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22860</xdr:colOff>
      <xdr:row>176</xdr:row>
      <xdr:rowOff>160020</xdr:rowOff>
    </xdr:from>
    <xdr:to>
      <xdr:col>11</xdr:col>
      <xdr:colOff>762000</xdr:colOff>
      <xdr:row>180</xdr:row>
      <xdr:rowOff>99060</xdr:rowOff>
    </xdr:to>
    <xdr:sp macro="" textlink="">
      <xdr:nvSpPr>
        <xdr:cNvPr id="9253" name="Text Box 37">
          <a:extLst>
            <a:ext uri="{FF2B5EF4-FFF2-40B4-BE49-F238E27FC236}">
              <a16:creationId xmlns:a16="http://schemas.microsoft.com/office/drawing/2014/main" id="{00000000-0008-0000-1300-000025240000}"/>
            </a:ext>
          </a:extLst>
        </xdr:cNvPr>
        <xdr:cNvSpPr txBox="1">
          <a:spLocks noChangeArrowheads="1"/>
        </xdr:cNvSpPr>
      </xdr:nvSpPr>
      <xdr:spPr bwMode="auto">
        <a:xfrm>
          <a:off x="12138660" y="38221920"/>
          <a:ext cx="10767060" cy="701040"/>
        </a:xfrm>
        <a:prstGeom prst="rect">
          <a:avLst/>
        </a:prstGeom>
        <a:solidFill>
          <a:srgbClr val="EAEAEA"/>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en-AU" sz="1200" b="0" i="0" u="none" strike="noStrike" baseline="0">
              <a:solidFill>
                <a:srgbClr val="000000"/>
              </a:solidFill>
              <a:latin typeface="Arial"/>
              <a:cs typeface="Arial"/>
            </a:rPr>
            <a:t>Note:</a:t>
          </a:r>
        </a:p>
        <a:p>
          <a:pPr algn="l" rtl="0">
            <a:defRPr sz="1000"/>
          </a:pPr>
          <a:r>
            <a:rPr lang="en-AU" sz="1200" b="0" i="0" u="none" strike="noStrike" baseline="0">
              <a:solidFill>
                <a:srgbClr val="000000"/>
              </a:solidFill>
              <a:latin typeface="Arial"/>
              <a:cs typeface="Arial"/>
            </a:rPr>
            <a:t>Adult Equivalents (AEs) for dry cattle are based on relativity to a standard weight of beast carried for 12 months.  One adult equivalent (AE) can be thought of as the amount of feed consumed in 12 months by a non-lactating animal of average weight 450 kg. Therefore, if average feed consumption is 2.2% of bodyweight, this would be equivalent to approx 3,650 kg dry matter per year for one AE.</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18</xdr:col>
      <xdr:colOff>441960</xdr:colOff>
      <xdr:row>0</xdr:row>
      <xdr:rowOff>0</xdr:rowOff>
    </xdr:from>
    <xdr:to>
      <xdr:col>20</xdr:col>
      <xdr:colOff>662940</xdr:colOff>
      <xdr:row>0</xdr:row>
      <xdr:rowOff>0</xdr:rowOff>
    </xdr:to>
    <xdr:sp macro="" textlink="">
      <xdr:nvSpPr>
        <xdr:cNvPr id="24577" name="AutoShape 1">
          <a:extLst>
            <a:ext uri="{FF2B5EF4-FFF2-40B4-BE49-F238E27FC236}">
              <a16:creationId xmlns:a16="http://schemas.microsoft.com/office/drawing/2014/main" id="{00000000-0008-0000-1400-000001600000}"/>
            </a:ext>
          </a:extLst>
        </xdr:cNvPr>
        <xdr:cNvSpPr>
          <a:spLocks noChangeArrowheads="1"/>
        </xdr:cNvSpPr>
      </xdr:nvSpPr>
      <xdr:spPr bwMode="auto">
        <a:xfrm>
          <a:off x="33268920" y="0"/>
          <a:ext cx="3238500" cy="0"/>
        </a:xfrm>
        <a:prstGeom prst="leftArrow">
          <a:avLst>
            <a:gd name="adj1" fmla="val 50000"/>
            <a:gd name="adj2" fmla="val -2147483648"/>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24</xdr:col>
      <xdr:colOff>144780</xdr:colOff>
      <xdr:row>0</xdr:row>
      <xdr:rowOff>0</xdr:rowOff>
    </xdr:from>
    <xdr:to>
      <xdr:col>24</xdr:col>
      <xdr:colOff>2606040</xdr:colOff>
      <xdr:row>0</xdr:row>
      <xdr:rowOff>0</xdr:rowOff>
    </xdr:to>
    <xdr:sp macro="" textlink="">
      <xdr:nvSpPr>
        <xdr:cNvPr id="24578" name="AutoShape 2">
          <a:extLst>
            <a:ext uri="{FF2B5EF4-FFF2-40B4-BE49-F238E27FC236}">
              <a16:creationId xmlns:a16="http://schemas.microsoft.com/office/drawing/2014/main" id="{00000000-0008-0000-1400-000002600000}"/>
            </a:ext>
          </a:extLst>
        </xdr:cNvPr>
        <xdr:cNvSpPr>
          <a:spLocks noChangeArrowheads="1"/>
        </xdr:cNvSpPr>
      </xdr:nvSpPr>
      <xdr:spPr bwMode="auto">
        <a:xfrm flipH="1">
          <a:off x="40789860" y="0"/>
          <a:ext cx="2461260" cy="0"/>
        </a:xfrm>
        <a:prstGeom prst="leftArrow">
          <a:avLst>
            <a:gd name="adj1" fmla="val 50000"/>
            <a:gd name="adj2" fmla="val -2147483648"/>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18</xdr:col>
      <xdr:colOff>441960</xdr:colOff>
      <xdr:row>0</xdr:row>
      <xdr:rowOff>0</xdr:rowOff>
    </xdr:from>
    <xdr:to>
      <xdr:col>20</xdr:col>
      <xdr:colOff>662940</xdr:colOff>
      <xdr:row>0</xdr:row>
      <xdr:rowOff>0</xdr:rowOff>
    </xdr:to>
    <xdr:sp macro="" textlink="">
      <xdr:nvSpPr>
        <xdr:cNvPr id="24579" name="AutoShape 3">
          <a:extLst>
            <a:ext uri="{FF2B5EF4-FFF2-40B4-BE49-F238E27FC236}">
              <a16:creationId xmlns:a16="http://schemas.microsoft.com/office/drawing/2014/main" id="{00000000-0008-0000-1400-000003600000}"/>
            </a:ext>
          </a:extLst>
        </xdr:cNvPr>
        <xdr:cNvSpPr>
          <a:spLocks noChangeArrowheads="1"/>
        </xdr:cNvSpPr>
      </xdr:nvSpPr>
      <xdr:spPr bwMode="auto">
        <a:xfrm>
          <a:off x="33268920" y="0"/>
          <a:ext cx="3238500" cy="0"/>
        </a:xfrm>
        <a:prstGeom prst="leftArrow">
          <a:avLst>
            <a:gd name="adj1" fmla="val 50000"/>
            <a:gd name="adj2" fmla="val -2147483648"/>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24</xdr:col>
      <xdr:colOff>144780</xdr:colOff>
      <xdr:row>0</xdr:row>
      <xdr:rowOff>0</xdr:rowOff>
    </xdr:from>
    <xdr:to>
      <xdr:col>24</xdr:col>
      <xdr:colOff>2606040</xdr:colOff>
      <xdr:row>0</xdr:row>
      <xdr:rowOff>0</xdr:rowOff>
    </xdr:to>
    <xdr:sp macro="" textlink="">
      <xdr:nvSpPr>
        <xdr:cNvPr id="24580" name="AutoShape 4">
          <a:extLst>
            <a:ext uri="{FF2B5EF4-FFF2-40B4-BE49-F238E27FC236}">
              <a16:creationId xmlns:a16="http://schemas.microsoft.com/office/drawing/2014/main" id="{00000000-0008-0000-1400-000004600000}"/>
            </a:ext>
          </a:extLst>
        </xdr:cNvPr>
        <xdr:cNvSpPr>
          <a:spLocks noChangeArrowheads="1"/>
        </xdr:cNvSpPr>
      </xdr:nvSpPr>
      <xdr:spPr bwMode="auto">
        <a:xfrm flipH="1">
          <a:off x="40789860" y="0"/>
          <a:ext cx="2461260" cy="0"/>
        </a:xfrm>
        <a:prstGeom prst="leftArrow">
          <a:avLst>
            <a:gd name="adj1" fmla="val 50000"/>
            <a:gd name="adj2" fmla="val -2147483648"/>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106680</xdr:colOff>
      <xdr:row>0</xdr:row>
      <xdr:rowOff>0</xdr:rowOff>
    </xdr:from>
    <xdr:to>
      <xdr:col>9</xdr:col>
      <xdr:colOff>1043940</xdr:colOff>
      <xdr:row>0</xdr:row>
      <xdr:rowOff>0</xdr:rowOff>
    </xdr:to>
    <xdr:sp macro="" textlink="">
      <xdr:nvSpPr>
        <xdr:cNvPr id="24581" name="TextBox 3">
          <a:extLst>
            <a:ext uri="{FF2B5EF4-FFF2-40B4-BE49-F238E27FC236}">
              <a16:creationId xmlns:a16="http://schemas.microsoft.com/office/drawing/2014/main" id="{00000000-0008-0000-1400-000005600000}"/>
            </a:ext>
          </a:extLst>
        </xdr:cNvPr>
        <xdr:cNvSpPr txBox="1">
          <a:spLocks noChangeArrowheads="1"/>
        </xdr:cNvSpPr>
      </xdr:nvSpPr>
      <xdr:spPr bwMode="auto">
        <a:xfrm>
          <a:off x="9707880" y="0"/>
          <a:ext cx="9654540" cy="0"/>
        </a:xfrm>
        <a:prstGeom prst="rect">
          <a:avLst/>
        </a:prstGeom>
        <a:solidFill>
          <a:srgbClr val="EEECE1"/>
        </a:solidFill>
        <a:ln w="9525">
          <a:solidFill>
            <a:srgbClr val="000000"/>
          </a:solidFill>
          <a:miter lim="800000"/>
          <a:headEnd/>
          <a:tailEnd/>
        </a:ln>
      </xdr:spPr>
      <xdr:txBody>
        <a:bodyPr vertOverflow="clip" wrap="square" lIns="27432" tIns="18288" rIns="0" bIns="0" anchor="t"/>
        <a:lstStyle/>
        <a:p>
          <a:pPr algn="l" rtl="0">
            <a:defRPr sz="1000"/>
          </a:pPr>
          <a:r>
            <a:rPr lang="en-AU" sz="1200" b="0" i="0" u="none" strike="noStrike" baseline="0">
              <a:solidFill>
                <a:srgbClr val="000000"/>
              </a:solidFill>
              <a:latin typeface="Calibri"/>
              <a:cs typeface="Calibri"/>
            </a:rPr>
            <a:t>Please ensure that the values per head entered here reflect the  average value of the stock in the paddock at calving, not the market value when selling. The values you enter should reflect something along the lines of the values you might get in a "Clearout Sale".</a:t>
          </a:r>
        </a:p>
        <a:p>
          <a:pPr algn="l" rtl="0">
            <a:defRPr sz="1000"/>
          </a:pPr>
          <a:r>
            <a:rPr lang="en-AU" sz="1200" b="0" i="0" u="none" strike="noStrike" baseline="0">
              <a:solidFill>
                <a:srgbClr val="000000"/>
              </a:solidFill>
              <a:latin typeface="Calibri"/>
              <a:cs typeface="Calibri"/>
            </a:rPr>
            <a:t>These values are not used in this analysis to calculate the opportunity cost of livestock capital. Only the interest payable on the average annual livestock purchases is counted to allow comparison with other forages.  Please change the formula in D171 if all livestock capital is to be accounted for.</a:t>
          </a:r>
        </a:p>
      </xdr:txBody>
    </xdr:sp>
    <xdr:clientData/>
  </xdr:twoCellAnchor>
  <xdr:twoCellAnchor>
    <xdr:from>
      <xdr:col>18</xdr:col>
      <xdr:colOff>441960</xdr:colOff>
      <xdr:row>0</xdr:row>
      <xdr:rowOff>0</xdr:rowOff>
    </xdr:from>
    <xdr:to>
      <xdr:col>20</xdr:col>
      <xdr:colOff>662940</xdr:colOff>
      <xdr:row>0</xdr:row>
      <xdr:rowOff>0</xdr:rowOff>
    </xdr:to>
    <xdr:sp macro="" textlink="">
      <xdr:nvSpPr>
        <xdr:cNvPr id="24582" name="AutoShape 6">
          <a:extLst>
            <a:ext uri="{FF2B5EF4-FFF2-40B4-BE49-F238E27FC236}">
              <a16:creationId xmlns:a16="http://schemas.microsoft.com/office/drawing/2014/main" id="{00000000-0008-0000-1400-000006600000}"/>
            </a:ext>
          </a:extLst>
        </xdr:cNvPr>
        <xdr:cNvSpPr>
          <a:spLocks noChangeArrowheads="1"/>
        </xdr:cNvSpPr>
      </xdr:nvSpPr>
      <xdr:spPr bwMode="auto">
        <a:xfrm>
          <a:off x="33268920" y="0"/>
          <a:ext cx="3238500" cy="0"/>
        </a:xfrm>
        <a:prstGeom prst="leftArrow">
          <a:avLst>
            <a:gd name="adj1" fmla="val 50000"/>
            <a:gd name="adj2" fmla="val -2147483648"/>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24</xdr:col>
      <xdr:colOff>144780</xdr:colOff>
      <xdr:row>0</xdr:row>
      <xdr:rowOff>0</xdr:rowOff>
    </xdr:from>
    <xdr:to>
      <xdr:col>24</xdr:col>
      <xdr:colOff>2606040</xdr:colOff>
      <xdr:row>0</xdr:row>
      <xdr:rowOff>0</xdr:rowOff>
    </xdr:to>
    <xdr:sp macro="" textlink="">
      <xdr:nvSpPr>
        <xdr:cNvPr id="24583" name="AutoShape 7">
          <a:extLst>
            <a:ext uri="{FF2B5EF4-FFF2-40B4-BE49-F238E27FC236}">
              <a16:creationId xmlns:a16="http://schemas.microsoft.com/office/drawing/2014/main" id="{00000000-0008-0000-1400-000007600000}"/>
            </a:ext>
          </a:extLst>
        </xdr:cNvPr>
        <xdr:cNvSpPr>
          <a:spLocks noChangeArrowheads="1"/>
        </xdr:cNvSpPr>
      </xdr:nvSpPr>
      <xdr:spPr bwMode="auto">
        <a:xfrm flipH="1">
          <a:off x="40789860" y="0"/>
          <a:ext cx="2461260" cy="0"/>
        </a:xfrm>
        <a:prstGeom prst="leftArrow">
          <a:avLst>
            <a:gd name="adj1" fmla="val 50000"/>
            <a:gd name="adj2" fmla="val -2147483648"/>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22860</xdr:colOff>
      <xdr:row>0</xdr:row>
      <xdr:rowOff>0</xdr:rowOff>
    </xdr:from>
    <xdr:to>
      <xdr:col>10</xdr:col>
      <xdr:colOff>762000</xdr:colOff>
      <xdr:row>0</xdr:row>
      <xdr:rowOff>0</xdr:rowOff>
    </xdr:to>
    <xdr:sp macro="" textlink="">
      <xdr:nvSpPr>
        <xdr:cNvPr id="24584" name="Text Box 8">
          <a:extLst>
            <a:ext uri="{FF2B5EF4-FFF2-40B4-BE49-F238E27FC236}">
              <a16:creationId xmlns:a16="http://schemas.microsoft.com/office/drawing/2014/main" id="{00000000-0008-0000-1400-000008600000}"/>
            </a:ext>
          </a:extLst>
        </xdr:cNvPr>
        <xdr:cNvSpPr txBox="1">
          <a:spLocks noChangeArrowheads="1"/>
        </xdr:cNvSpPr>
      </xdr:nvSpPr>
      <xdr:spPr bwMode="auto">
        <a:xfrm>
          <a:off x="9624060" y="0"/>
          <a:ext cx="11452860" cy="0"/>
        </a:xfrm>
        <a:prstGeom prst="rect">
          <a:avLst/>
        </a:prstGeom>
        <a:solidFill>
          <a:srgbClr val="EAEAEA"/>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en-AU" sz="1200" b="0" i="0" u="none" strike="noStrike" baseline="0">
              <a:solidFill>
                <a:srgbClr val="000000"/>
              </a:solidFill>
              <a:latin typeface="Arial"/>
              <a:cs typeface="Arial"/>
            </a:rPr>
            <a:t>Note:</a:t>
          </a:r>
        </a:p>
        <a:p>
          <a:pPr algn="l" rtl="0">
            <a:defRPr sz="1000"/>
          </a:pPr>
          <a:r>
            <a:rPr lang="en-AU" sz="1200" b="0" i="0" u="none" strike="noStrike" baseline="0">
              <a:solidFill>
                <a:srgbClr val="000000"/>
              </a:solidFill>
              <a:latin typeface="Arial"/>
              <a:cs typeface="Arial"/>
            </a:rPr>
            <a:t>Adult Equivalents (AEs) for dry cattle are based on relativity to a standard weight of beast carried for 12 months.  One adult equivalent (AE) can be thought of as the amount of feed consumed in 12 months by a non-lactating animal of average weight 450 kg. Therefore, if average feed consumption is 2.2% of bodyweight, this would be equivalent to approx 3,650 kg dry matter per year for one AE.</a:t>
          </a:r>
        </a:p>
      </xdr:txBody>
    </xdr:sp>
    <xdr:clientData/>
  </xdr:twoCellAnchor>
  <xdr:twoCellAnchor>
    <xdr:from>
      <xdr:col>5</xdr:col>
      <xdr:colOff>22860</xdr:colOff>
      <xdr:row>233</xdr:row>
      <xdr:rowOff>160020</xdr:rowOff>
    </xdr:from>
    <xdr:to>
      <xdr:col>10</xdr:col>
      <xdr:colOff>762000</xdr:colOff>
      <xdr:row>237</xdr:row>
      <xdr:rowOff>99060</xdr:rowOff>
    </xdr:to>
    <xdr:sp macro="" textlink="">
      <xdr:nvSpPr>
        <xdr:cNvPr id="24586" name="Text Box 10">
          <a:extLst>
            <a:ext uri="{FF2B5EF4-FFF2-40B4-BE49-F238E27FC236}">
              <a16:creationId xmlns:a16="http://schemas.microsoft.com/office/drawing/2014/main" id="{00000000-0008-0000-1400-00000A600000}"/>
            </a:ext>
          </a:extLst>
        </xdr:cNvPr>
        <xdr:cNvSpPr txBox="1">
          <a:spLocks noChangeArrowheads="1"/>
        </xdr:cNvSpPr>
      </xdr:nvSpPr>
      <xdr:spPr bwMode="auto">
        <a:xfrm>
          <a:off x="9624060" y="49080420"/>
          <a:ext cx="11452860" cy="701040"/>
        </a:xfrm>
        <a:prstGeom prst="rect">
          <a:avLst/>
        </a:prstGeom>
        <a:solidFill>
          <a:srgbClr val="EAEAEA"/>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en-AU" sz="1200" b="0" i="0" u="none" strike="noStrike" baseline="0">
              <a:solidFill>
                <a:srgbClr val="000000"/>
              </a:solidFill>
              <a:latin typeface="Arial"/>
              <a:cs typeface="Arial"/>
            </a:rPr>
            <a:t>Note:</a:t>
          </a:r>
        </a:p>
        <a:p>
          <a:pPr algn="l" rtl="0">
            <a:defRPr sz="1000"/>
          </a:pPr>
          <a:r>
            <a:rPr lang="en-AU" sz="1200" b="0" i="0" u="none" strike="noStrike" baseline="0">
              <a:solidFill>
                <a:srgbClr val="000000"/>
              </a:solidFill>
              <a:latin typeface="Arial"/>
              <a:cs typeface="Arial"/>
            </a:rPr>
            <a:t>Adult Equivalents (AEs) for dry cattle are based on relativity to a standard weight of beast carried for 12 months.  One adult equivalent (AE) can be thought of as the amount of feed consumed in 12 months by a non-lactating animal of average weight 450 kg. Therefore, if average feed consumption is 2.2% of bodyweight, this would be equivalent to approx 3,650 kg dry matter per year for one AE.</a:t>
          </a:r>
        </a:p>
      </xdr:txBody>
    </xdr:sp>
    <xdr:clientData/>
  </xdr:twoCellAnchor>
  <xdr:twoCellAnchor>
    <xdr:from>
      <xdr:col>18</xdr:col>
      <xdr:colOff>441960</xdr:colOff>
      <xdr:row>147</xdr:row>
      <xdr:rowOff>167640</xdr:rowOff>
    </xdr:from>
    <xdr:to>
      <xdr:col>20</xdr:col>
      <xdr:colOff>662940</xdr:colOff>
      <xdr:row>149</xdr:row>
      <xdr:rowOff>68580</xdr:rowOff>
    </xdr:to>
    <xdr:sp macro="" textlink="">
      <xdr:nvSpPr>
        <xdr:cNvPr id="24587" name="AutoShape 11">
          <a:extLst>
            <a:ext uri="{FF2B5EF4-FFF2-40B4-BE49-F238E27FC236}">
              <a16:creationId xmlns:a16="http://schemas.microsoft.com/office/drawing/2014/main" id="{00000000-0008-0000-1400-00000B600000}"/>
            </a:ext>
          </a:extLst>
        </xdr:cNvPr>
        <xdr:cNvSpPr>
          <a:spLocks noChangeArrowheads="1"/>
        </xdr:cNvSpPr>
      </xdr:nvSpPr>
      <xdr:spPr bwMode="auto">
        <a:xfrm>
          <a:off x="33268920" y="32529780"/>
          <a:ext cx="3238500" cy="289560"/>
        </a:xfrm>
        <a:prstGeom prst="leftArrow">
          <a:avLst>
            <a:gd name="adj1" fmla="val 50000"/>
            <a:gd name="adj2" fmla="val 279605"/>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24</xdr:col>
      <xdr:colOff>144780</xdr:colOff>
      <xdr:row>148</xdr:row>
      <xdr:rowOff>68580</xdr:rowOff>
    </xdr:from>
    <xdr:to>
      <xdr:col>24</xdr:col>
      <xdr:colOff>2598420</xdr:colOff>
      <xdr:row>149</xdr:row>
      <xdr:rowOff>182880</xdr:rowOff>
    </xdr:to>
    <xdr:sp macro="" textlink="">
      <xdr:nvSpPr>
        <xdr:cNvPr id="24588" name="AutoShape 12">
          <a:extLst>
            <a:ext uri="{FF2B5EF4-FFF2-40B4-BE49-F238E27FC236}">
              <a16:creationId xmlns:a16="http://schemas.microsoft.com/office/drawing/2014/main" id="{00000000-0008-0000-1400-00000C600000}"/>
            </a:ext>
          </a:extLst>
        </xdr:cNvPr>
        <xdr:cNvSpPr>
          <a:spLocks noChangeArrowheads="1"/>
        </xdr:cNvSpPr>
      </xdr:nvSpPr>
      <xdr:spPr bwMode="auto">
        <a:xfrm flipH="1">
          <a:off x="40789860" y="32628840"/>
          <a:ext cx="2453640" cy="304800"/>
        </a:xfrm>
        <a:prstGeom prst="leftArrow">
          <a:avLst>
            <a:gd name="adj1" fmla="val 50000"/>
            <a:gd name="adj2" fmla="val 201250"/>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18</xdr:col>
      <xdr:colOff>441960</xdr:colOff>
      <xdr:row>0</xdr:row>
      <xdr:rowOff>0</xdr:rowOff>
    </xdr:from>
    <xdr:to>
      <xdr:col>20</xdr:col>
      <xdr:colOff>662940</xdr:colOff>
      <xdr:row>0</xdr:row>
      <xdr:rowOff>0</xdr:rowOff>
    </xdr:to>
    <xdr:sp macro="" textlink="">
      <xdr:nvSpPr>
        <xdr:cNvPr id="24589" name="AutoShape 13">
          <a:extLst>
            <a:ext uri="{FF2B5EF4-FFF2-40B4-BE49-F238E27FC236}">
              <a16:creationId xmlns:a16="http://schemas.microsoft.com/office/drawing/2014/main" id="{00000000-0008-0000-1400-00000D600000}"/>
            </a:ext>
          </a:extLst>
        </xdr:cNvPr>
        <xdr:cNvSpPr>
          <a:spLocks noChangeArrowheads="1"/>
        </xdr:cNvSpPr>
      </xdr:nvSpPr>
      <xdr:spPr bwMode="auto">
        <a:xfrm>
          <a:off x="33268920" y="0"/>
          <a:ext cx="3238500" cy="0"/>
        </a:xfrm>
        <a:prstGeom prst="leftArrow">
          <a:avLst>
            <a:gd name="adj1" fmla="val 50000"/>
            <a:gd name="adj2" fmla="val -2147483648"/>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24</xdr:col>
      <xdr:colOff>144780</xdr:colOff>
      <xdr:row>0</xdr:row>
      <xdr:rowOff>0</xdr:rowOff>
    </xdr:from>
    <xdr:to>
      <xdr:col>24</xdr:col>
      <xdr:colOff>2606040</xdr:colOff>
      <xdr:row>0</xdr:row>
      <xdr:rowOff>0</xdr:rowOff>
    </xdr:to>
    <xdr:sp macro="" textlink="">
      <xdr:nvSpPr>
        <xdr:cNvPr id="24590" name="AutoShape 14">
          <a:extLst>
            <a:ext uri="{FF2B5EF4-FFF2-40B4-BE49-F238E27FC236}">
              <a16:creationId xmlns:a16="http://schemas.microsoft.com/office/drawing/2014/main" id="{00000000-0008-0000-1400-00000E600000}"/>
            </a:ext>
          </a:extLst>
        </xdr:cNvPr>
        <xdr:cNvSpPr>
          <a:spLocks noChangeArrowheads="1"/>
        </xdr:cNvSpPr>
      </xdr:nvSpPr>
      <xdr:spPr bwMode="auto">
        <a:xfrm flipH="1">
          <a:off x="40789860" y="0"/>
          <a:ext cx="2461260" cy="0"/>
        </a:xfrm>
        <a:prstGeom prst="leftArrow">
          <a:avLst>
            <a:gd name="adj1" fmla="val 50000"/>
            <a:gd name="adj2" fmla="val -2147483648"/>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18</xdr:col>
      <xdr:colOff>441960</xdr:colOff>
      <xdr:row>0</xdr:row>
      <xdr:rowOff>0</xdr:rowOff>
    </xdr:from>
    <xdr:to>
      <xdr:col>20</xdr:col>
      <xdr:colOff>662940</xdr:colOff>
      <xdr:row>0</xdr:row>
      <xdr:rowOff>0</xdr:rowOff>
    </xdr:to>
    <xdr:sp macro="" textlink="">
      <xdr:nvSpPr>
        <xdr:cNvPr id="24591" name="AutoShape 15">
          <a:extLst>
            <a:ext uri="{FF2B5EF4-FFF2-40B4-BE49-F238E27FC236}">
              <a16:creationId xmlns:a16="http://schemas.microsoft.com/office/drawing/2014/main" id="{00000000-0008-0000-1400-00000F600000}"/>
            </a:ext>
          </a:extLst>
        </xdr:cNvPr>
        <xdr:cNvSpPr>
          <a:spLocks noChangeArrowheads="1"/>
        </xdr:cNvSpPr>
      </xdr:nvSpPr>
      <xdr:spPr bwMode="auto">
        <a:xfrm>
          <a:off x="33268920" y="0"/>
          <a:ext cx="3238500" cy="0"/>
        </a:xfrm>
        <a:prstGeom prst="leftArrow">
          <a:avLst>
            <a:gd name="adj1" fmla="val 50000"/>
            <a:gd name="adj2" fmla="val -2147483648"/>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24</xdr:col>
      <xdr:colOff>144780</xdr:colOff>
      <xdr:row>0</xdr:row>
      <xdr:rowOff>0</xdr:rowOff>
    </xdr:from>
    <xdr:to>
      <xdr:col>24</xdr:col>
      <xdr:colOff>2606040</xdr:colOff>
      <xdr:row>0</xdr:row>
      <xdr:rowOff>0</xdr:rowOff>
    </xdr:to>
    <xdr:sp macro="" textlink="">
      <xdr:nvSpPr>
        <xdr:cNvPr id="24592" name="AutoShape 16">
          <a:extLst>
            <a:ext uri="{FF2B5EF4-FFF2-40B4-BE49-F238E27FC236}">
              <a16:creationId xmlns:a16="http://schemas.microsoft.com/office/drawing/2014/main" id="{00000000-0008-0000-1400-000010600000}"/>
            </a:ext>
          </a:extLst>
        </xdr:cNvPr>
        <xdr:cNvSpPr>
          <a:spLocks noChangeArrowheads="1"/>
        </xdr:cNvSpPr>
      </xdr:nvSpPr>
      <xdr:spPr bwMode="auto">
        <a:xfrm flipH="1">
          <a:off x="40789860" y="0"/>
          <a:ext cx="2461260" cy="0"/>
        </a:xfrm>
        <a:prstGeom prst="leftArrow">
          <a:avLst>
            <a:gd name="adj1" fmla="val 50000"/>
            <a:gd name="adj2" fmla="val -2147483648"/>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106680</xdr:colOff>
      <xdr:row>0</xdr:row>
      <xdr:rowOff>0</xdr:rowOff>
    </xdr:from>
    <xdr:to>
      <xdr:col>9</xdr:col>
      <xdr:colOff>1043940</xdr:colOff>
      <xdr:row>0</xdr:row>
      <xdr:rowOff>0</xdr:rowOff>
    </xdr:to>
    <xdr:sp macro="" textlink="">
      <xdr:nvSpPr>
        <xdr:cNvPr id="24593" name="TextBox 3">
          <a:extLst>
            <a:ext uri="{FF2B5EF4-FFF2-40B4-BE49-F238E27FC236}">
              <a16:creationId xmlns:a16="http://schemas.microsoft.com/office/drawing/2014/main" id="{00000000-0008-0000-1400-000011600000}"/>
            </a:ext>
          </a:extLst>
        </xdr:cNvPr>
        <xdr:cNvSpPr txBox="1">
          <a:spLocks noChangeArrowheads="1"/>
        </xdr:cNvSpPr>
      </xdr:nvSpPr>
      <xdr:spPr bwMode="auto">
        <a:xfrm>
          <a:off x="9707880" y="0"/>
          <a:ext cx="9654540" cy="0"/>
        </a:xfrm>
        <a:prstGeom prst="rect">
          <a:avLst/>
        </a:prstGeom>
        <a:solidFill>
          <a:srgbClr val="EEECE1"/>
        </a:solidFill>
        <a:ln w="9525">
          <a:solidFill>
            <a:srgbClr val="000000"/>
          </a:solidFill>
          <a:miter lim="800000"/>
          <a:headEnd/>
          <a:tailEnd/>
        </a:ln>
      </xdr:spPr>
      <xdr:txBody>
        <a:bodyPr vertOverflow="clip" wrap="square" lIns="27432" tIns="18288" rIns="0" bIns="0" anchor="t"/>
        <a:lstStyle/>
        <a:p>
          <a:pPr algn="l" rtl="0">
            <a:defRPr sz="1000"/>
          </a:pPr>
          <a:r>
            <a:rPr lang="en-AU" sz="1200" b="0" i="0" u="none" strike="noStrike" baseline="0">
              <a:solidFill>
                <a:srgbClr val="000000"/>
              </a:solidFill>
              <a:latin typeface="Calibri"/>
              <a:cs typeface="Calibri"/>
            </a:rPr>
            <a:t>Please ensure that the values per head entered here reflect the  average value of the stock in the paddock at calving, not the market value when selling. The values you enter should reflect something along the lines of the values you might get in a "Clearout Sale".</a:t>
          </a:r>
        </a:p>
        <a:p>
          <a:pPr algn="l" rtl="0">
            <a:defRPr sz="1000"/>
          </a:pPr>
          <a:r>
            <a:rPr lang="en-AU" sz="1200" b="0" i="0" u="none" strike="noStrike" baseline="0">
              <a:solidFill>
                <a:srgbClr val="000000"/>
              </a:solidFill>
              <a:latin typeface="Calibri"/>
              <a:cs typeface="Calibri"/>
            </a:rPr>
            <a:t>These values are not used in this analysis to calculate the opportunity cost of livestock capital. Only the interest payable on the average annual livestock purchases is counted to allow comparison with other forages.  Please change the formula in D171 if all livestock capital is to be accounted for.</a:t>
          </a:r>
        </a:p>
      </xdr:txBody>
    </xdr:sp>
    <xdr:clientData/>
  </xdr:twoCellAnchor>
  <xdr:twoCellAnchor>
    <xdr:from>
      <xdr:col>18</xdr:col>
      <xdr:colOff>441960</xdr:colOff>
      <xdr:row>0</xdr:row>
      <xdr:rowOff>0</xdr:rowOff>
    </xdr:from>
    <xdr:to>
      <xdr:col>20</xdr:col>
      <xdr:colOff>662940</xdr:colOff>
      <xdr:row>0</xdr:row>
      <xdr:rowOff>0</xdr:rowOff>
    </xdr:to>
    <xdr:sp macro="" textlink="">
      <xdr:nvSpPr>
        <xdr:cNvPr id="24594" name="AutoShape 18">
          <a:extLst>
            <a:ext uri="{FF2B5EF4-FFF2-40B4-BE49-F238E27FC236}">
              <a16:creationId xmlns:a16="http://schemas.microsoft.com/office/drawing/2014/main" id="{00000000-0008-0000-1400-000012600000}"/>
            </a:ext>
          </a:extLst>
        </xdr:cNvPr>
        <xdr:cNvSpPr>
          <a:spLocks noChangeArrowheads="1"/>
        </xdr:cNvSpPr>
      </xdr:nvSpPr>
      <xdr:spPr bwMode="auto">
        <a:xfrm>
          <a:off x="33268920" y="0"/>
          <a:ext cx="3238500" cy="0"/>
        </a:xfrm>
        <a:prstGeom prst="leftArrow">
          <a:avLst>
            <a:gd name="adj1" fmla="val 50000"/>
            <a:gd name="adj2" fmla="val -2147483648"/>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24</xdr:col>
      <xdr:colOff>144780</xdr:colOff>
      <xdr:row>0</xdr:row>
      <xdr:rowOff>0</xdr:rowOff>
    </xdr:from>
    <xdr:to>
      <xdr:col>24</xdr:col>
      <xdr:colOff>2606040</xdr:colOff>
      <xdr:row>0</xdr:row>
      <xdr:rowOff>0</xdr:rowOff>
    </xdr:to>
    <xdr:sp macro="" textlink="">
      <xdr:nvSpPr>
        <xdr:cNvPr id="24595" name="AutoShape 19">
          <a:extLst>
            <a:ext uri="{FF2B5EF4-FFF2-40B4-BE49-F238E27FC236}">
              <a16:creationId xmlns:a16="http://schemas.microsoft.com/office/drawing/2014/main" id="{00000000-0008-0000-1400-000013600000}"/>
            </a:ext>
          </a:extLst>
        </xdr:cNvPr>
        <xdr:cNvSpPr>
          <a:spLocks noChangeArrowheads="1"/>
        </xdr:cNvSpPr>
      </xdr:nvSpPr>
      <xdr:spPr bwMode="auto">
        <a:xfrm flipH="1">
          <a:off x="40789860" y="0"/>
          <a:ext cx="2461260" cy="0"/>
        </a:xfrm>
        <a:prstGeom prst="leftArrow">
          <a:avLst>
            <a:gd name="adj1" fmla="val 50000"/>
            <a:gd name="adj2" fmla="val -2147483648"/>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22860</xdr:colOff>
      <xdr:row>0</xdr:row>
      <xdr:rowOff>0</xdr:rowOff>
    </xdr:from>
    <xdr:to>
      <xdr:col>10</xdr:col>
      <xdr:colOff>762000</xdr:colOff>
      <xdr:row>0</xdr:row>
      <xdr:rowOff>0</xdr:rowOff>
    </xdr:to>
    <xdr:sp macro="" textlink="">
      <xdr:nvSpPr>
        <xdr:cNvPr id="24596" name="Text Box 20">
          <a:extLst>
            <a:ext uri="{FF2B5EF4-FFF2-40B4-BE49-F238E27FC236}">
              <a16:creationId xmlns:a16="http://schemas.microsoft.com/office/drawing/2014/main" id="{00000000-0008-0000-1400-000014600000}"/>
            </a:ext>
          </a:extLst>
        </xdr:cNvPr>
        <xdr:cNvSpPr txBox="1">
          <a:spLocks noChangeArrowheads="1"/>
        </xdr:cNvSpPr>
      </xdr:nvSpPr>
      <xdr:spPr bwMode="auto">
        <a:xfrm>
          <a:off x="9624060" y="0"/>
          <a:ext cx="11452860" cy="0"/>
        </a:xfrm>
        <a:prstGeom prst="rect">
          <a:avLst/>
        </a:prstGeom>
        <a:solidFill>
          <a:srgbClr val="EAEAEA"/>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en-AU" sz="1200" b="0" i="0" u="none" strike="noStrike" baseline="0">
              <a:solidFill>
                <a:srgbClr val="000000"/>
              </a:solidFill>
              <a:latin typeface="Arial"/>
              <a:cs typeface="Arial"/>
            </a:rPr>
            <a:t>Note:</a:t>
          </a:r>
        </a:p>
        <a:p>
          <a:pPr algn="l" rtl="0">
            <a:defRPr sz="1000"/>
          </a:pPr>
          <a:r>
            <a:rPr lang="en-AU" sz="1200" b="0" i="0" u="none" strike="noStrike" baseline="0">
              <a:solidFill>
                <a:srgbClr val="000000"/>
              </a:solidFill>
              <a:latin typeface="Arial"/>
              <a:cs typeface="Arial"/>
            </a:rPr>
            <a:t>Adult Equivalents (AEs) for dry cattle are based on relativity to a standard weight of beast carried for 12 months.  One adult equivalent (AE) can be thought of as the amount of feed consumed in 12 months by a non-lactating animal of average weight 450 kg. Therefore, if average feed consumption is 2.2% of bodyweight, this would be equivalent to approx 3,650 kg dry matter per year for one AE.</a:t>
          </a:r>
        </a:p>
      </xdr:txBody>
    </xdr:sp>
    <xdr:clientData/>
  </xdr:twoCellAnchor>
  <xdr:twoCellAnchor>
    <xdr:from>
      <xdr:col>18</xdr:col>
      <xdr:colOff>441960</xdr:colOff>
      <xdr:row>102</xdr:row>
      <xdr:rowOff>167640</xdr:rowOff>
    </xdr:from>
    <xdr:to>
      <xdr:col>20</xdr:col>
      <xdr:colOff>662940</xdr:colOff>
      <xdr:row>104</xdr:row>
      <xdr:rowOff>68580</xdr:rowOff>
    </xdr:to>
    <xdr:sp macro="" textlink="">
      <xdr:nvSpPr>
        <xdr:cNvPr id="24597" name="AutoShape 21">
          <a:extLst>
            <a:ext uri="{FF2B5EF4-FFF2-40B4-BE49-F238E27FC236}">
              <a16:creationId xmlns:a16="http://schemas.microsoft.com/office/drawing/2014/main" id="{00000000-0008-0000-1400-000015600000}"/>
            </a:ext>
          </a:extLst>
        </xdr:cNvPr>
        <xdr:cNvSpPr>
          <a:spLocks noChangeArrowheads="1"/>
        </xdr:cNvSpPr>
      </xdr:nvSpPr>
      <xdr:spPr bwMode="auto">
        <a:xfrm>
          <a:off x="33268920" y="23644860"/>
          <a:ext cx="3238500" cy="281940"/>
        </a:xfrm>
        <a:prstGeom prst="leftArrow">
          <a:avLst>
            <a:gd name="adj1" fmla="val 50000"/>
            <a:gd name="adj2" fmla="val 287162"/>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24</xdr:col>
      <xdr:colOff>144780</xdr:colOff>
      <xdr:row>103</xdr:row>
      <xdr:rowOff>68580</xdr:rowOff>
    </xdr:from>
    <xdr:to>
      <xdr:col>24</xdr:col>
      <xdr:colOff>2598420</xdr:colOff>
      <xdr:row>104</xdr:row>
      <xdr:rowOff>182880</xdr:rowOff>
    </xdr:to>
    <xdr:sp macro="" textlink="">
      <xdr:nvSpPr>
        <xdr:cNvPr id="24598" name="AutoShape 22">
          <a:extLst>
            <a:ext uri="{FF2B5EF4-FFF2-40B4-BE49-F238E27FC236}">
              <a16:creationId xmlns:a16="http://schemas.microsoft.com/office/drawing/2014/main" id="{00000000-0008-0000-1400-000016600000}"/>
            </a:ext>
          </a:extLst>
        </xdr:cNvPr>
        <xdr:cNvSpPr>
          <a:spLocks noChangeArrowheads="1"/>
        </xdr:cNvSpPr>
      </xdr:nvSpPr>
      <xdr:spPr bwMode="auto">
        <a:xfrm flipH="1">
          <a:off x="40789860" y="23736300"/>
          <a:ext cx="2453640" cy="304800"/>
        </a:xfrm>
        <a:prstGeom prst="leftArrow">
          <a:avLst>
            <a:gd name="adj1" fmla="val 50000"/>
            <a:gd name="adj2" fmla="val 201250"/>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22860</xdr:colOff>
      <xdr:row>176</xdr:row>
      <xdr:rowOff>160020</xdr:rowOff>
    </xdr:from>
    <xdr:to>
      <xdr:col>11</xdr:col>
      <xdr:colOff>762000</xdr:colOff>
      <xdr:row>180</xdr:row>
      <xdr:rowOff>99060</xdr:rowOff>
    </xdr:to>
    <xdr:sp macro="" textlink="">
      <xdr:nvSpPr>
        <xdr:cNvPr id="24599" name="Text Box 23">
          <a:extLst>
            <a:ext uri="{FF2B5EF4-FFF2-40B4-BE49-F238E27FC236}">
              <a16:creationId xmlns:a16="http://schemas.microsoft.com/office/drawing/2014/main" id="{00000000-0008-0000-1400-000017600000}"/>
            </a:ext>
          </a:extLst>
        </xdr:cNvPr>
        <xdr:cNvSpPr txBox="1">
          <a:spLocks noChangeArrowheads="1"/>
        </xdr:cNvSpPr>
      </xdr:nvSpPr>
      <xdr:spPr bwMode="auto">
        <a:xfrm>
          <a:off x="12138660" y="38221920"/>
          <a:ext cx="10767060" cy="701040"/>
        </a:xfrm>
        <a:prstGeom prst="rect">
          <a:avLst/>
        </a:prstGeom>
        <a:solidFill>
          <a:srgbClr val="EAEAEA"/>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en-AU" sz="1200" b="0" i="0" u="none" strike="noStrike" baseline="0">
              <a:solidFill>
                <a:srgbClr val="000000"/>
              </a:solidFill>
              <a:latin typeface="Arial"/>
              <a:cs typeface="Arial"/>
            </a:rPr>
            <a:t>Note:</a:t>
          </a:r>
        </a:p>
        <a:p>
          <a:pPr algn="l" rtl="0">
            <a:defRPr sz="1000"/>
          </a:pPr>
          <a:r>
            <a:rPr lang="en-AU" sz="1200" b="0" i="0" u="none" strike="noStrike" baseline="0">
              <a:solidFill>
                <a:srgbClr val="000000"/>
              </a:solidFill>
              <a:latin typeface="Arial"/>
              <a:cs typeface="Arial"/>
            </a:rPr>
            <a:t>Adult Equivalents (AEs) for dry cattle are based on relativity to a standard weight of beast carried for 12 months.  One adult equivalent (AE) can be thought of as the amount of feed consumed in 12 months by a non-lactating animal of average weight 450 kg. Therefore, if average feed consumption is 2.2% of bodyweight, this would be equivalent to approx 3,650 kg dry matter per year for one AE.</a:t>
          </a:r>
        </a:p>
      </xdr:txBody>
    </xdr:sp>
    <xdr:clientData/>
  </xdr:twoCellAnchor>
  <xdr:twoCellAnchor>
    <xdr:from>
      <xdr:col>18</xdr:col>
      <xdr:colOff>441960</xdr:colOff>
      <xdr:row>0</xdr:row>
      <xdr:rowOff>0</xdr:rowOff>
    </xdr:from>
    <xdr:to>
      <xdr:col>20</xdr:col>
      <xdr:colOff>662940</xdr:colOff>
      <xdr:row>0</xdr:row>
      <xdr:rowOff>0</xdr:rowOff>
    </xdr:to>
    <xdr:sp macro="" textlink="">
      <xdr:nvSpPr>
        <xdr:cNvPr id="24600" name="AutoShape 24">
          <a:extLst>
            <a:ext uri="{FF2B5EF4-FFF2-40B4-BE49-F238E27FC236}">
              <a16:creationId xmlns:a16="http://schemas.microsoft.com/office/drawing/2014/main" id="{00000000-0008-0000-1400-000018600000}"/>
            </a:ext>
          </a:extLst>
        </xdr:cNvPr>
        <xdr:cNvSpPr>
          <a:spLocks noChangeArrowheads="1"/>
        </xdr:cNvSpPr>
      </xdr:nvSpPr>
      <xdr:spPr bwMode="auto">
        <a:xfrm>
          <a:off x="33268920" y="0"/>
          <a:ext cx="3238500" cy="0"/>
        </a:xfrm>
        <a:prstGeom prst="leftArrow">
          <a:avLst>
            <a:gd name="adj1" fmla="val 50000"/>
            <a:gd name="adj2" fmla="val -2147483648"/>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24</xdr:col>
      <xdr:colOff>144780</xdr:colOff>
      <xdr:row>0</xdr:row>
      <xdr:rowOff>0</xdr:rowOff>
    </xdr:from>
    <xdr:to>
      <xdr:col>24</xdr:col>
      <xdr:colOff>2606040</xdr:colOff>
      <xdr:row>0</xdr:row>
      <xdr:rowOff>0</xdr:rowOff>
    </xdr:to>
    <xdr:sp macro="" textlink="">
      <xdr:nvSpPr>
        <xdr:cNvPr id="24601" name="AutoShape 25">
          <a:extLst>
            <a:ext uri="{FF2B5EF4-FFF2-40B4-BE49-F238E27FC236}">
              <a16:creationId xmlns:a16="http://schemas.microsoft.com/office/drawing/2014/main" id="{00000000-0008-0000-1400-000019600000}"/>
            </a:ext>
          </a:extLst>
        </xdr:cNvPr>
        <xdr:cNvSpPr>
          <a:spLocks noChangeArrowheads="1"/>
        </xdr:cNvSpPr>
      </xdr:nvSpPr>
      <xdr:spPr bwMode="auto">
        <a:xfrm flipH="1">
          <a:off x="40789860" y="0"/>
          <a:ext cx="2461260" cy="0"/>
        </a:xfrm>
        <a:prstGeom prst="leftArrow">
          <a:avLst>
            <a:gd name="adj1" fmla="val 50000"/>
            <a:gd name="adj2" fmla="val -2147483648"/>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18</xdr:col>
      <xdr:colOff>441960</xdr:colOff>
      <xdr:row>0</xdr:row>
      <xdr:rowOff>0</xdr:rowOff>
    </xdr:from>
    <xdr:to>
      <xdr:col>20</xdr:col>
      <xdr:colOff>662940</xdr:colOff>
      <xdr:row>0</xdr:row>
      <xdr:rowOff>0</xdr:rowOff>
    </xdr:to>
    <xdr:sp macro="" textlink="">
      <xdr:nvSpPr>
        <xdr:cNvPr id="24602" name="AutoShape 26">
          <a:extLst>
            <a:ext uri="{FF2B5EF4-FFF2-40B4-BE49-F238E27FC236}">
              <a16:creationId xmlns:a16="http://schemas.microsoft.com/office/drawing/2014/main" id="{00000000-0008-0000-1400-00001A600000}"/>
            </a:ext>
          </a:extLst>
        </xdr:cNvPr>
        <xdr:cNvSpPr>
          <a:spLocks noChangeArrowheads="1"/>
        </xdr:cNvSpPr>
      </xdr:nvSpPr>
      <xdr:spPr bwMode="auto">
        <a:xfrm>
          <a:off x="33268920" y="0"/>
          <a:ext cx="3238500" cy="0"/>
        </a:xfrm>
        <a:prstGeom prst="leftArrow">
          <a:avLst>
            <a:gd name="adj1" fmla="val 50000"/>
            <a:gd name="adj2" fmla="val -2147483648"/>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24</xdr:col>
      <xdr:colOff>144780</xdr:colOff>
      <xdr:row>0</xdr:row>
      <xdr:rowOff>0</xdr:rowOff>
    </xdr:from>
    <xdr:to>
      <xdr:col>24</xdr:col>
      <xdr:colOff>2606040</xdr:colOff>
      <xdr:row>0</xdr:row>
      <xdr:rowOff>0</xdr:rowOff>
    </xdr:to>
    <xdr:sp macro="" textlink="">
      <xdr:nvSpPr>
        <xdr:cNvPr id="24603" name="AutoShape 27">
          <a:extLst>
            <a:ext uri="{FF2B5EF4-FFF2-40B4-BE49-F238E27FC236}">
              <a16:creationId xmlns:a16="http://schemas.microsoft.com/office/drawing/2014/main" id="{00000000-0008-0000-1400-00001B600000}"/>
            </a:ext>
          </a:extLst>
        </xdr:cNvPr>
        <xdr:cNvSpPr>
          <a:spLocks noChangeArrowheads="1"/>
        </xdr:cNvSpPr>
      </xdr:nvSpPr>
      <xdr:spPr bwMode="auto">
        <a:xfrm flipH="1">
          <a:off x="40789860" y="0"/>
          <a:ext cx="2461260" cy="0"/>
        </a:xfrm>
        <a:prstGeom prst="leftArrow">
          <a:avLst>
            <a:gd name="adj1" fmla="val 50000"/>
            <a:gd name="adj2" fmla="val -2147483648"/>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106680</xdr:colOff>
      <xdr:row>0</xdr:row>
      <xdr:rowOff>0</xdr:rowOff>
    </xdr:from>
    <xdr:to>
      <xdr:col>9</xdr:col>
      <xdr:colOff>1043940</xdr:colOff>
      <xdr:row>0</xdr:row>
      <xdr:rowOff>0</xdr:rowOff>
    </xdr:to>
    <xdr:sp macro="" textlink="">
      <xdr:nvSpPr>
        <xdr:cNvPr id="24604" name="TextBox 3">
          <a:extLst>
            <a:ext uri="{FF2B5EF4-FFF2-40B4-BE49-F238E27FC236}">
              <a16:creationId xmlns:a16="http://schemas.microsoft.com/office/drawing/2014/main" id="{00000000-0008-0000-1400-00001C600000}"/>
            </a:ext>
          </a:extLst>
        </xdr:cNvPr>
        <xdr:cNvSpPr txBox="1">
          <a:spLocks noChangeArrowheads="1"/>
        </xdr:cNvSpPr>
      </xdr:nvSpPr>
      <xdr:spPr bwMode="auto">
        <a:xfrm>
          <a:off x="9707880" y="0"/>
          <a:ext cx="9654540" cy="0"/>
        </a:xfrm>
        <a:prstGeom prst="rect">
          <a:avLst/>
        </a:prstGeom>
        <a:solidFill>
          <a:srgbClr val="EEECE1"/>
        </a:solidFill>
        <a:ln w="9525">
          <a:solidFill>
            <a:srgbClr val="000000"/>
          </a:solidFill>
          <a:miter lim="800000"/>
          <a:headEnd/>
          <a:tailEnd/>
        </a:ln>
      </xdr:spPr>
      <xdr:txBody>
        <a:bodyPr vertOverflow="clip" wrap="square" lIns="27432" tIns="18288" rIns="0" bIns="0" anchor="t"/>
        <a:lstStyle/>
        <a:p>
          <a:pPr algn="l" rtl="0">
            <a:defRPr sz="1000"/>
          </a:pPr>
          <a:r>
            <a:rPr lang="en-AU" sz="1200" b="0" i="0" u="none" strike="noStrike" baseline="0">
              <a:solidFill>
                <a:srgbClr val="000000"/>
              </a:solidFill>
              <a:latin typeface="Calibri"/>
              <a:cs typeface="Calibri"/>
            </a:rPr>
            <a:t>Please ensure that the values per head entered here reflect the  average value of the stock in the paddock at calving, not the market value when selling. The values you enter should reflect something along the lines of the values you might get in a "Clearout Sale".</a:t>
          </a:r>
        </a:p>
        <a:p>
          <a:pPr algn="l" rtl="0">
            <a:defRPr sz="1000"/>
          </a:pPr>
          <a:r>
            <a:rPr lang="en-AU" sz="1200" b="0" i="0" u="none" strike="noStrike" baseline="0">
              <a:solidFill>
                <a:srgbClr val="000000"/>
              </a:solidFill>
              <a:latin typeface="Calibri"/>
              <a:cs typeface="Calibri"/>
            </a:rPr>
            <a:t>These values are not used in this analysis to calculate the opportunity cost of livestock capital. Only the interest payable on the average annual livestock purchases is counted to allow comparison with other forages.  Please change the formula in D171 if all livestock capital is to be accounted for.</a:t>
          </a:r>
        </a:p>
      </xdr:txBody>
    </xdr:sp>
    <xdr:clientData/>
  </xdr:twoCellAnchor>
  <xdr:twoCellAnchor>
    <xdr:from>
      <xdr:col>18</xdr:col>
      <xdr:colOff>441960</xdr:colOff>
      <xdr:row>0</xdr:row>
      <xdr:rowOff>0</xdr:rowOff>
    </xdr:from>
    <xdr:to>
      <xdr:col>20</xdr:col>
      <xdr:colOff>662940</xdr:colOff>
      <xdr:row>0</xdr:row>
      <xdr:rowOff>0</xdr:rowOff>
    </xdr:to>
    <xdr:sp macro="" textlink="">
      <xdr:nvSpPr>
        <xdr:cNvPr id="24605" name="AutoShape 29">
          <a:extLst>
            <a:ext uri="{FF2B5EF4-FFF2-40B4-BE49-F238E27FC236}">
              <a16:creationId xmlns:a16="http://schemas.microsoft.com/office/drawing/2014/main" id="{00000000-0008-0000-1400-00001D600000}"/>
            </a:ext>
          </a:extLst>
        </xdr:cNvPr>
        <xdr:cNvSpPr>
          <a:spLocks noChangeArrowheads="1"/>
        </xdr:cNvSpPr>
      </xdr:nvSpPr>
      <xdr:spPr bwMode="auto">
        <a:xfrm>
          <a:off x="33268920" y="0"/>
          <a:ext cx="3238500" cy="0"/>
        </a:xfrm>
        <a:prstGeom prst="leftArrow">
          <a:avLst>
            <a:gd name="adj1" fmla="val 50000"/>
            <a:gd name="adj2" fmla="val -2147483648"/>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24</xdr:col>
      <xdr:colOff>144780</xdr:colOff>
      <xdr:row>0</xdr:row>
      <xdr:rowOff>0</xdr:rowOff>
    </xdr:from>
    <xdr:to>
      <xdr:col>24</xdr:col>
      <xdr:colOff>2606040</xdr:colOff>
      <xdr:row>0</xdr:row>
      <xdr:rowOff>0</xdr:rowOff>
    </xdr:to>
    <xdr:sp macro="" textlink="">
      <xdr:nvSpPr>
        <xdr:cNvPr id="24606" name="AutoShape 30">
          <a:extLst>
            <a:ext uri="{FF2B5EF4-FFF2-40B4-BE49-F238E27FC236}">
              <a16:creationId xmlns:a16="http://schemas.microsoft.com/office/drawing/2014/main" id="{00000000-0008-0000-1400-00001E600000}"/>
            </a:ext>
          </a:extLst>
        </xdr:cNvPr>
        <xdr:cNvSpPr>
          <a:spLocks noChangeArrowheads="1"/>
        </xdr:cNvSpPr>
      </xdr:nvSpPr>
      <xdr:spPr bwMode="auto">
        <a:xfrm flipH="1">
          <a:off x="40789860" y="0"/>
          <a:ext cx="2461260" cy="0"/>
        </a:xfrm>
        <a:prstGeom prst="leftArrow">
          <a:avLst>
            <a:gd name="adj1" fmla="val 50000"/>
            <a:gd name="adj2" fmla="val -2147483648"/>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22860</xdr:colOff>
      <xdr:row>0</xdr:row>
      <xdr:rowOff>0</xdr:rowOff>
    </xdr:from>
    <xdr:to>
      <xdr:col>10</xdr:col>
      <xdr:colOff>762000</xdr:colOff>
      <xdr:row>0</xdr:row>
      <xdr:rowOff>0</xdr:rowOff>
    </xdr:to>
    <xdr:sp macro="" textlink="">
      <xdr:nvSpPr>
        <xdr:cNvPr id="24607" name="Text Box 31">
          <a:extLst>
            <a:ext uri="{FF2B5EF4-FFF2-40B4-BE49-F238E27FC236}">
              <a16:creationId xmlns:a16="http://schemas.microsoft.com/office/drawing/2014/main" id="{00000000-0008-0000-1400-00001F600000}"/>
            </a:ext>
          </a:extLst>
        </xdr:cNvPr>
        <xdr:cNvSpPr txBox="1">
          <a:spLocks noChangeArrowheads="1"/>
        </xdr:cNvSpPr>
      </xdr:nvSpPr>
      <xdr:spPr bwMode="auto">
        <a:xfrm>
          <a:off x="9624060" y="0"/>
          <a:ext cx="11452860" cy="0"/>
        </a:xfrm>
        <a:prstGeom prst="rect">
          <a:avLst/>
        </a:prstGeom>
        <a:solidFill>
          <a:srgbClr val="EAEAEA"/>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en-AU" sz="1200" b="0" i="0" u="none" strike="noStrike" baseline="0">
              <a:solidFill>
                <a:srgbClr val="000000"/>
              </a:solidFill>
              <a:latin typeface="Arial"/>
              <a:cs typeface="Arial"/>
            </a:rPr>
            <a:t>Note:</a:t>
          </a:r>
        </a:p>
        <a:p>
          <a:pPr algn="l" rtl="0">
            <a:defRPr sz="1000"/>
          </a:pPr>
          <a:r>
            <a:rPr lang="en-AU" sz="1200" b="0" i="0" u="none" strike="noStrike" baseline="0">
              <a:solidFill>
                <a:srgbClr val="000000"/>
              </a:solidFill>
              <a:latin typeface="Arial"/>
              <a:cs typeface="Arial"/>
            </a:rPr>
            <a:t>Adult Equivalents (AEs) for dry cattle are based on relativity to a standard weight of beast carried for 12 months.  One adult equivalent (AE) can be thought of as the amount of feed consumed in 12 months by a non-lactating animal of average weight 450 kg. Therefore, if average feed consumption is 2.2% of bodyweight, this would be equivalent to approx 3,650 kg dry matter per year for one AE.</a:t>
          </a:r>
        </a:p>
      </xdr:txBody>
    </xdr:sp>
    <xdr:clientData/>
  </xdr:twoCellAnchor>
  <xdr:twoCellAnchor>
    <xdr:from>
      <xdr:col>18</xdr:col>
      <xdr:colOff>441960</xdr:colOff>
      <xdr:row>102</xdr:row>
      <xdr:rowOff>167640</xdr:rowOff>
    </xdr:from>
    <xdr:to>
      <xdr:col>20</xdr:col>
      <xdr:colOff>662940</xdr:colOff>
      <xdr:row>104</xdr:row>
      <xdr:rowOff>68580</xdr:rowOff>
    </xdr:to>
    <xdr:sp macro="" textlink="">
      <xdr:nvSpPr>
        <xdr:cNvPr id="24608" name="AutoShape 32">
          <a:extLst>
            <a:ext uri="{FF2B5EF4-FFF2-40B4-BE49-F238E27FC236}">
              <a16:creationId xmlns:a16="http://schemas.microsoft.com/office/drawing/2014/main" id="{00000000-0008-0000-1400-000020600000}"/>
            </a:ext>
          </a:extLst>
        </xdr:cNvPr>
        <xdr:cNvSpPr>
          <a:spLocks noChangeArrowheads="1"/>
        </xdr:cNvSpPr>
      </xdr:nvSpPr>
      <xdr:spPr bwMode="auto">
        <a:xfrm>
          <a:off x="33268920" y="23644860"/>
          <a:ext cx="3238500" cy="281940"/>
        </a:xfrm>
        <a:prstGeom prst="leftArrow">
          <a:avLst>
            <a:gd name="adj1" fmla="val 50000"/>
            <a:gd name="adj2" fmla="val 287162"/>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24</xdr:col>
      <xdr:colOff>144780</xdr:colOff>
      <xdr:row>103</xdr:row>
      <xdr:rowOff>68580</xdr:rowOff>
    </xdr:from>
    <xdr:to>
      <xdr:col>24</xdr:col>
      <xdr:colOff>2598420</xdr:colOff>
      <xdr:row>104</xdr:row>
      <xdr:rowOff>182880</xdr:rowOff>
    </xdr:to>
    <xdr:sp macro="" textlink="">
      <xdr:nvSpPr>
        <xdr:cNvPr id="24609" name="AutoShape 33">
          <a:extLst>
            <a:ext uri="{FF2B5EF4-FFF2-40B4-BE49-F238E27FC236}">
              <a16:creationId xmlns:a16="http://schemas.microsoft.com/office/drawing/2014/main" id="{00000000-0008-0000-1400-000021600000}"/>
            </a:ext>
          </a:extLst>
        </xdr:cNvPr>
        <xdr:cNvSpPr>
          <a:spLocks noChangeArrowheads="1"/>
        </xdr:cNvSpPr>
      </xdr:nvSpPr>
      <xdr:spPr bwMode="auto">
        <a:xfrm flipH="1">
          <a:off x="40789860" y="23736300"/>
          <a:ext cx="2453640" cy="304800"/>
        </a:xfrm>
        <a:prstGeom prst="leftArrow">
          <a:avLst>
            <a:gd name="adj1" fmla="val 50000"/>
            <a:gd name="adj2" fmla="val 201250"/>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22860</xdr:colOff>
      <xdr:row>176</xdr:row>
      <xdr:rowOff>160020</xdr:rowOff>
    </xdr:from>
    <xdr:to>
      <xdr:col>11</xdr:col>
      <xdr:colOff>762000</xdr:colOff>
      <xdr:row>180</xdr:row>
      <xdr:rowOff>99060</xdr:rowOff>
    </xdr:to>
    <xdr:sp macro="" textlink="">
      <xdr:nvSpPr>
        <xdr:cNvPr id="24610" name="Text Box 34">
          <a:extLst>
            <a:ext uri="{FF2B5EF4-FFF2-40B4-BE49-F238E27FC236}">
              <a16:creationId xmlns:a16="http://schemas.microsoft.com/office/drawing/2014/main" id="{00000000-0008-0000-1400-000022600000}"/>
            </a:ext>
          </a:extLst>
        </xdr:cNvPr>
        <xdr:cNvSpPr txBox="1">
          <a:spLocks noChangeArrowheads="1"/>
        </xdr:cNvSpPr>
      </xdr:nvSpPr>
      <xdr:spPr bwMode="auto">
        <a:xfrm>
          <a:off x="12138660" y="38221920"/>
          <a:ext cx="10767060" cy="701040"/>
        </a:xfrm>
        <a:prstGeom prst="rect">
          <a:avLst/>
        </a:prstGeom>
        <a:solidFill>
          <a:srgbClr val="EAEAEA"/>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en-AU" sz="1200" b="0" i="0" u="none" strike="noStrike" baseline="0">
              <a:solidFill>
                <a:srgbClr val="000000"/>
              </a:solidFill>
              <a:latin typeface="Arial"/>
              <a:cs typeface="Arial"/>
            </a:rPr>
            <a:t>Note:</a:t>
          </a:r>
        </a:p>
        <a:p>
          <a:pPr algn="l" rtl="0">
            <a:defRPr sz="1000"/>
          </a:pPr>
          <a:r>
            <a:rPr lang="en-AU" sz="1200" b="0" i="0" u="none" strike="noStrike" baseline="0">
              <a:solidFill>
                <a:srgbClr val="000000"/>
              </a:solidFill>
              <a:latin typeface="Arial"/>
              <a:cs typeface="Arial"/>
            </a:rPr>
            <a:t>Adult Equivalents (AEs) for dry cattle are based on relativity to a standard weight of beast carried for 12 months.  One adult equivalent (AE) can be thought of as the amount of feed consumed in 12 months by a non-lactating animal of average weight 450 kg. Therefore, if average feed consumption is 2.2% of bodyweight, this would be equivalent to approx 3,650 kg dry matter per year for one AE.</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99060</xdr:colOff>
      <xdr:row>90</xdr:row>
      <xdr:rowOff>7620</xdr:rowOff>
    </xdr:from>
    <xdr:to>
      <xdr:col>9</xdr:col>
      <xdr:colOff>1043940</xdr:colOff>
      <xdr:row>97</xdr:row>
      <xdr:rowOff>99060</xdr:rowOff>
    </xdr:to>
    <xdr:sp macro="" textlink="">
      <xdr:nvSpPr>
        <xdr:cNvPr id="15361" name="TextBox 3">
          <a:extLst>
            <a:ext uri="{FF2B5EF4-FFF2-40B4-BE49-F238E27FC236}">
              <a16:creationId xmlns:a16="http://schemas.microsoft.com/office/drawing/2014/main" id="{00000000-0008-0000-0A00-0000013C0000}"/>
            </a:ext>
          </a:extLst>
        </xdr:cNvPr>
        <xdr:cNvSpPr txBox="1">
          <a:spLocks noChangeArrowheads="1"/>
        </xdr:cNvSpPr>
      </xdr:nvSpPr>
      <xdr:spPr bwMode="auto">
        <a:xfrm>
          <a:off x="11376660" y="18569940"/>
          <a:ext cx="9464040" cy="1371600"/>
        </a:xfrm>
        <a:prstGeom prst="rect">
          <a:avLst/>
        </a:prstGeom>
        <a:solidFill>
          <a:srgbClr val="EEECE1"/>
        </a:solidFill>
        <a:ln w="9525">
          <a:solidFill>
            <a:srgbClr val="000000"/>
          </a:solidFill>
          <a:miter lim="800000"/>
          <a:headEnd/>
          <a:tailEnd/>
        </a:ln>
      </xdr:spPr>
      <xdr:txBody>
        <a:bodyPr vertOverflow="clip" wrap="square" lIns="27432" tIns="18288" rIns="0" bIns="0" anchor="t"/>
        <a:lstStyle/>
        <a:p>
          <a:pPr algn="l" rtl="0">
            <a:defRPr sz="1000"/>
          </a:pPr>
          <a:r>
            <a:rPr lang="en-AU" sz="1200" b="0" i="0" u="none" strike="noStrike" baseline="0">
              <a:solidFill>
                <a:srgbClr val="000000"/>
              </a:solidFill>
              <a:latin typeface="Calibri"/>
              <a:cs typeface="Calibri"/>
            </a:rPr>
            <a:t>Please ensure that the values per head entered here reflect the  average value of the stock in the paddock at calving, not the market value when selling. The values you enter should reflect something along the lines of the values you might get in a "Clearout Sale".</a:t>
          </a:r>
        </a:p>
        <a:p>
          <a:pPr algn="l" rtl="0">
            <a:defRPr sz="1000"/>
          </a:pPr>
          <a:r>
            <a:rPr lang="en-AU" sz="1200" b="0" i="0" u="none" strike="noStrike" baseline="0">
              <a:solidFill>
                <a:srgbClr val="000000"/>
              </a:solidFill>
              <a:latin typeface="Calibri"/>
              <a:cs typeface="Calibri"/>
            </a:rPr>
            <a:t>These values are not used in this analysis to calculate the opportunity cost of livestock capital. Only the interest payable on the average annual livestock purchases is counted to allow comparison with other forages.  Please change the formula in D227 if all livestock capital is to be accounted for.</a:t>
          </a:r>
        </a:p>
      </xdr:txBody>
    </xdr:sp>
    <xdr:clientData/>
  </xdr:twoCellAnchor>
  <xdr:twoCellAnchor>
    <xdr:from>
      <xdr:col>5</xdr:col>
      <xdr:colOff>15240</xdr:colOff>
      <xdr:row>233</xdr:row>
      <xdr:rowOff>160020</xdr:rowOff>
    </xdr:from>
    <xdr:to>
      <xdr:col>10</xdr:col>
      <xdr:colOff>762000</xdr:colOff>
      <xdr:row>237</xdr:row>
      <xdr:rowOff>91440</xdr:rowOff>
    </xdr:to>
    <xdr:sp macro="" textlink="">
      <xdr:nvSpPr>
        <xdr:cNvPr id="15362" name="Text Box 2">
          <a:extLst>
            <a:ext uri="{FF2B5EF4-FFF2-40B4-BE49-F238E27FC236}">
              <a16:creationId xmlns:a16="http://schemas.microsoft.com/office/drawing/2014/main" id="{00000000-0008-0000-0A00-0000023C0000}"/>
            </a:ext>
          </a:extLst>
        </xdr:cNvPr>
        <xdr:cNvSpPr txBox="1">
          <a:spLocks noChangeArrowheads="1"/>
        </xdr:cNvSpPr>
      </xdr:nvSpPr>
      <xdr:spPr bwMode="auto">
        <a:xfrm>
          <a:off x="11292840" y="45956220"/>
          <a:ext cx="11071860" cy="723900"/>
        </a:xfrm>
        <a:prstGeom prst="rect">
          <a:avLst/>
        </a:prstGeom>
        <a:solidFill>
          <a:srgbClr val="EAEAEA"/>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en-AU" sz="1200" b="0" i="0" u="none" strike="noStrike" baseline="0">
              <a:solidFill>
                <a:srgbClr val="000000"/>
              </a:solidFill>
              <a:latin typeface="Arial"/>
              <a:cs typeface="Arial"/>
            </a:rPr>
            <a:t>Note:</a:t>
          </a:r>
        </a:p>
        <a:p>
          <a:pPr algn="l" rtl="0">
            <a:defRPr sz="1000"/>
          </a:pPr>
          <a:r>
            <a:rPr lang="en-AU" sz="1200" b="0" i="0" u="none" strike="noStrike" baseline="0">
              <a:solidFill>
                <a:srgbClr val="000000"/>
              </a:solidFill>
              <a:latin typeface="Arial"/>
              <a:cs typeface="Arial"/>
            </a:rPr>
            <a:t>Adult Equivalents (AEs) for dry cattle are based on relativity to a standard weight of beast carried for 12 months.  One adult equivalent (AE) can be thought of as the amount of feed consumed in 12 months by a non-lactating animal of average weight 450 kg. Therefore, if average feed consumption is 2.2% of bodyweight, this would be equivalent to approx 3,650 kg dry matter per year for one AE.</a:t>
          </a:r>
        </a:p>
      </xdr:txBody>
    </xdr:sp>
    <xdr:clientData/>
  </xdr:twoCellAnchor>
  <xdr:twoCellAnchor>
    <xdr:from>
      <xdr:col>18</xdr:col>
      <xdr:colOff>441960</xdr:colOff>
      <xdr:row>147</xdr:row>
      <xdr:rowOff>167640</xdr:rowOff>
    </xdr:from>
    <xdr:to>
      <xdr:col>20</xdr:col>
      <xdr:colOff>662940</xdr:colOff>
      <xdr:row>149</xdr:row>
      <xdr:rowOff>68580</xdr:rowOff>
    </xdr:to>
    <xdr:sp macro="" textlink="">
      <xdr:nvSpPr>
        <xdr:cNvPr id="15363" name="AutoShape 3">
          <a:extLst>
            <a:ext uri="{FF2B5EF4-FFF2-40B4-BE49-F238E27FC236}">
              <a16:creationId xmlns:a16="http://schemas.microsoft.com/office/drawing/2014/main" id="{00000000-0008-0000-0A00-0000033C0000}"/>
            </a:ext>
          </a:extLst>
        </xdr:cNvPr>
        <xdr:cNvSpPr>
          <a:spLocks noChangeArrowheads="1"/>
        </xdr:cNvSpPr>
      </xdr:nvSpPr>
      <xdr:spPr bwMode="auto">
        <a:xfrm>
          <a:off x="34564320" y="29580840"/>
          <a:ext cx="2217420" cy="297180"/>
        </a:xfrm>
        <a:prstGeom prst="leftArrow">
          <a:avLst>
            <a:gd name="adj1" fmla="val 50000"/>
            <a:gd name="adj2" fmla="val 186538"/>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24</xdr:col>
      <xdr:colOff>144780</xdr:colOff>
      <xdr:row>148</xdr:row>
      <xdr:rowOff>68580</xdr:rowOff>
    </xdr:from>
    <xdr:to>
      <xdr:col>24</xdr:col>
      <xdr:colOff>2598420</xdr:colOff>
      <xdr:row>149</xdr:row>
      <xdr:rowOff>182880</xdr:rowOff>
    </xdr:to>
    <xdr:sp macro="" textlink="">
      <xdr:nvSpPr>
        <xdr:cNvPr id="15364" name="AutoShape 4">
          <a:extLst>
            <a:ext uri="{FF2B5EF4-FFF2-40B4-BE49-F238E27FC236}">
              <a16:creationId xmlns:a16="http://schemas.microsoft.com/office/drawing/2014/main" id="{00000000-0008-0000-0A00-0000043C0000}"/>
            </a:ext>
          </a:extLst>
        </xdr:cNvPr>
        <xdr:cNvSpPr>
          <a:spLocks noChangeArrowheads="1"/>
        </xdr:cNvSpPr>
      </xdr:nvSpPr>
      <xdr:spPr bwMode="auto">
        <a:xfrm flipH="1">
          <a:off x="39738300" y="29679900"/>
          <a:ext cx="2453640" cy="312420"/>
        </a:xfrm>
        <a:prstGeom prst="leftArrow">
          <a:avLst>
            <a:gd name="adj1" fmla="val 50000"/>
            <a:gd name="adj2" fmla="val 196341"/>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18</xdr:col>
      <xdr:colOff>419100</xdr:colOff>
      <xdr:row>154</xdr:row>
      <xdr:rowOff>106680</xdr:rowOff>
    </xdr:from>
    <xdr:to>
      <xdr:col>20</xdr:col>
      <xdr:colOff>640080</xdr:colOff>
      <xdr:row>156</xdr:row>
      <xdr:rowOff>76200</xdr:rowOff>
    </xdr:to>
    <xdr:sp macro="" textlink="">
      <xdr:nvSpPr>
        <xdr:cNvPr id="14339" name="AutoShape 3">
          <a:extLst>
            <a:ext uri="{FF2B5EF4-FFF2-40B4-BE49-F238E27FC236}">
              <a16:creationId xmlns:a16="http://schemas.microsoft.com/office/drawing/2014/main" id="{00000000-0008-0000-0B00-000003380000}"/>
            </a:ext>
          </a:extLst>
        </xdr:cNvPr>
        <xdr:cNvSpPr>
          <a:spLocks noChangeArrowheads="1"/>
        </xdr:cNvSpPr>
      </xdr:nvSpPr>
      <xdr:spPr bwMode="auto">
        <a:xfrm>
          <a:off x="33246060" y="33733740"/>
          <a:ext cx="3238500" cy="365760"/>
        </a:xfrm>
        <a:prstGeom prst="leftArrow">
          <a:avLst>
            <a:gd name="adj1" fmla="val 50000"/>
            <a:gd name="adj2" fmla="val 221354"/>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24</xdr:col>
      <xdr:colOff>99060</xdr:colOff>
      <xdr:row>154</xdr:row>
      <xdr:rowOff>68580</xdr:rowOff>
    </xdr:from>
    <xdr:to>
      <xdr:col>24</xdr:col>
      <xdr:colOff>2560320</xdr:colOff>
      <xdr:row>155</xdr:row>
      <xdr:rowOff>182880</xdr:rowOff>
    </xdr:to>
    <xdr:sp macro="" textlink="">
      <xdr:nvSpPr>
        <xdr:cNvPr id="14340" name="AutoShape 4">
          <a:extLst>
            <a:ext uri="{FF2B5EF4-FFF2-40B4-BE49-F238E27FC236}">
              <a16:creationId xmlns:a16="http://schemas.microsoft.com/office/drawing/2014/main" id="{00000000-0008-0000-0B00-000004380000}"/>
            </a:ext>
          </a:extLst>
        </xdr:cNvPr>
        <xdr:cNvSpPr>
          <a:spLocks noChangeArrowheads="1"/>
        </xdr:cNvSpPr>
      </xdr:nvSpPr>
      <xdr:spPr bwMode="auto">
        <a:xfrm flipH="1">
          <a:off x="40744140" y="33695640"/>
          <a:ext cx="2461260" cy="312420"/>
        </a:xfrm>
        <a:prstGeom prst="leftArrow">
          <a:avLst>
            <a:gd name="adj1" fmla="val 50000"/>
            <a:gd name="adj2" fmla="val 196951"/>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22860</xdr:colOff>
      <xdr:row>233</xdr:row>
      <xdr:rowOff>160020</xdr:rowOff>
    </xdr:from>
    <xdr:to>
      <xdr:col>10</xdr:col>
      <xdr:colOff>762000</xdr:colOff>
      <xdr:row>237</xdr:row>
      <xdr:rowOff>99060</xdr:rowOff>
    </xdr:to>
    <xdr:sp macro="" textlink="">
      <xdr:nvSpPr>
        <xdr:cNvPr id="14344" name="Text Box 8">
          <a:extLst>
            <a:ext uri="{FF2B5EF4-FFF2-40B4-BE49-F238E27FC236}">
              <a16:creationId xmlns:a16="http://schemas.microsoft.com/office/drawing/2014/main" id="{00000000-0008-0000-0B00-000008380000}"/>
            </a:ext>
          </a:extLst>
        </xdr:cNvPr>
        <xdr:cNvSpPr txBox="1">
          <a:spLocks noChangeArrowheads="1"/>
        </xdr:cNvSpPr>
      </xdr:nvSpPr>
      <xdr:spPr bwMode="auto">
        <a:xfrm>
          <a:off x="9624060" y="48988980"/>
          <a:ext cx="11452860" cy="701040"/>
        </a:xfrm>
        <a:prstGeom prst="rect">
          <a:avLst/>
        </a:prstGeom>
        <a:solidFill>
          <a:srgbClr val="EAEAEA"/>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en-AU" sz="1200" b="0" i="0" u="none" strike="noStrike" baseline="0">
              <a:solidFill>
                <a:srgbClr val="000000"/>
              </a:solidFill>
              <a:latin typeface="Arial"/>
              <a:cs typeface="Arial"/>
            </a:rPr>
            <a:t>Note:</a:t>
          </a:r>
        </a:p>
        <a:p>
          <a:pPr algn="l" rtl="0">
            <a:defRPr sz="1000"/>
          </a:pPr>
          <a:r>
            <a:rPr lang="en-AU" sz="1200" b="0" i="0" u="none" strike="noStrike" baseline="0">
              <a:solidFill>
                <a:srgbClr val="000000"/>
              </a:solidFill>
              <a:latin typeface="Arial"/>
              <a:cs typeface="Arial"/>
            </a:rPr>
            <a:t>Adult Equivalents (AEs) for dry cattle are based on relativity to a standard weight of beast carried for 12 months.  One adult equivalent (AE) can be thought of as the amount of feed consumed in 12 months by a non-lactating animal of average weight 450 kg. Therefore, if average feed consumption is 2.2% of bodyweight, this would be equivalent to approx 3,650 kg dry matter per year for one AE.</a:t>
          </a:r>
        </a:p>
      </xdr:txBody>
    </xdr:sp>
    <xdr:clientData/>
  </xdr:twoCellAnchor>
  <xdr:twoCellAnchor>
    <xdr:from>
      <xdr:col>18</xdr:col>
      <xdr:colOff>441960</xdr:colOff>
      <xdr:row>147</xdr:row>
      <xdr:rowOff>167640</xdr:rowOff>
    </xdr:from>
    <xdr:to>
      <xdr:col>20</xdr:col>
      <xdr:colOff>662940</xdr:colOff>
      <xdr:row>149</xdr:row>
      <xdr:rowOff>68580</xdr:rowOff>
    </xdr:to>
    <xdr:sp macro="" textlink="">
      <xdr:nvSpPr>
        <xdr:cNvPr id="14345" name="AutoShape 9">
          <a:extLst>
            <a:ext uri="{FF2B5EF4-FFF2-40B4-BE49-F238E27FC236}">
              <a16:creationId xmlns:a16="http://schemas.microsoft.com/office/drawing/2014/main" id="{00000000-0008-0000-0B00-000009380000}"/>
            </a:ext>
          </a:extLst>
        </xdr:cNvPr>
        <xdr:cNvSpPr>
          <a:spLocks noChangeArrowheads="1"/>
        </xdr:cNvSpPr>
      </xdr:nvSpPr>
      <xdr:spPr bwMode="auto">
        <a:xfrm>
          <a:off x="33268920" y="32438340"/>
          <a:ext cx="3238500" cy="289560"/>
        </a:xfrm>
        <a:prstGeom prst="leftArrow">
          <a:avLst>
            <a:gd name="adj1" fmla="val 50000"/>
            <a:gd name="adj2" fmla="val 279605"/>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24</xdr:col>
      <xdr:colOff>144780</xdr:colOff>
      <xdr:row>148</xdr:row>
      <xdr:rowOff>68580</xdr:rowOff>
    </xdr:from>
    <xdr:to>
      <xdr:col>24</xdr:col>
      <xdr:colOff>2598420</xdr:colOff>
      <xdr:row>149</xdr:row>
      <xdr:rowOff>182880</xdr:rowOff>
    </xdr:to>
    <xdr:sp macro="" textlink="">
      <xdr:nvSpPr>
        <xdr:cNvPr id="14346" name="AutoShape 10">
          <a:extLst>
            <a:ext uri="{FF2B5EF4-FFF2-40B4-BE49-F238E27FC236}">
              <a16:creationId xmlns:a16="http://schemas.microsoft.com/office/drawing/2014/main" id="{00000000-0008-0000-0B00-00000A380000}"/>
            </a:ext>
          </a:extLst>
        </xdr:cNvPr>
        <xdr:cNvSpPr>
          <a:spLocks noChangeArrowheads="1"/>
        </xdr:cNvSpPr>
      </xdr:nvSpPr>
      <xdr:spPr bwMode="auto">
        <a:xfrm flipH="1">
          <a:off x="40789860" y="32537400"/>
          <a:ext cx="2453640" cy="304800"/>
        </a:xfrm>
        <a:prstGeom prst="leftArrow">
          <a:avLst>
            <a:gd name="adj1" fmla="val 50000"/>
            <a:gd name="adj2" fmla="val 201250"/>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18</xdr:col>
      <xdr:colOff>441960</xdr:colOff>
      <xdr:row>0</xdr:row>
      <xdr:rowOff>0</xdr:rowOff>
    </xdr:from>
    <xdr:to>
      <xdr:col>20</xdr:col>
      <xdr:colOff>662940</xdr:colOff>
      <xdr:row>0</xdr:row>
      <xdr:rowOff>0</xdr:rowOff>
    </xdr:to>
    <xdr:sp macro="" textlink="">
      <xdr:nvSpPr>
        <xdr:cNvPr id="14348" name="AutoShape 12">
          <a:extLst>
            <a:ext uri="{FF2B5EF4-FFF2-40B4-BE49-F238E27FC236}">
              <a16:creationId xmlns:a16="http://schemas.microsoft.com/office/drawing/2014/main" id="{00000000-0008-0000-0B00-00000C380000}"/>
            </a:ext>
          </a:extLst>
        </xdr:cNvPr>
        <xdr:cNvSpPr>
          <a:spLocks noChangeArrowheads="1"/>
        </xdr:cNvSpPr>
      </xdr:nvSpPr>
      <xdr:spPr bwMode="auto">
        <a:xfrm>
          <a:off x="33268920" y="0"/>
          <a:ext cx="3238500" cy="0"/>
        </a:xfrm>
        <a:prstGeom prst="leftArrow">
          <a:avLst>
            <a:gd name="adj1" fmla="val 50000"/>
            <a:gd name="adj2" fmla="val -2147483648"/>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24</xdr:col>
      <xdr:colOff>144780</xdr:colOff>
      <xdr:row>0</xdr:row>
      <xdr:rowOff>0</xdr:rowOff>
    </xdr:from>
    <xdr:to>
      <xdr:col>24</xdr:col>
      <xdr:colOff>2606040</xdr:colOff>
      <xdr:row>0</xdr:row>
      <xdr:rowOff>0</xdr:rowOff>
    </xdr:to>
    <xdr:sp macro="" textlink="">
      <xdr:nvSpPr>
        <xdr:cNvPr id="14349" name="AutoShape 13">
          <a:extLst>
            <a:ext uri="{FF2B5EF4-FFF2-40B4-BE49-F238E27FC236}">
              <a16:creationId xmlns:a16="http://schemas.microsoft.com/office/drawing/2014/main" id="{00000000-0008-0000-0B00-00000D380000}"/>
            </a:ext>
          </a:extLst>
        </xdr:cNvPr>
        <xdr:cNvSpPr>
          <a:spLocks noChangeArrowheads="1"/>
        </xdr:cNvSpPr>
      </xdr:nvSpPr>
      <xdr:spPr bwMode="auto">
        <a:xfrm flipH="1">
          <a:off x="40789860" y="0"/>
          <a:ext cx="2461260" cy="0"/>
        </a:xfrm>
        <a:prstGeom prst="leftArrow">
          <a:avLst>
            <a:gd name="adj1" fmla="val 50000"/>
            <a:gd name="adj2" fmla="val -2147483648"/>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18</xdr:col>
      <xdr:colOff>441960</xdr:colOff>
      <xdr:row>0</xdr:row>
      <xdr:rowOff>0</xdr:rowOff>
    </xdr:from>
    <xdr:to>
      <xdr:col>20</xdr:col>
      <xdr:colOff>662940</xdr:colOff>
      <xdr:row>0</xdr:row>
      <xdr:rowOff>0</xdr:rowOff>
    </xdr:to>
    <xdr:sp macro="" textlink="">
      <xdr:nvSpPr>
        <xdr:cNvPr id="14350" name="AutoShape 14">
          <a:extLst>
            <a:ext uri="{FF2B5EF4-FFF2-40B4-BE49-F238E27FC236}">
              <a16:creationId xmlns:a16="http://schemas.microsoft.com/office/drawing/2014/main" id="{00000000-0008-0000-0B00-00000E380000}"/>
            </a:ext>
          </a:extLst>
        </xdr:cNvPr>
        <xdr:cNvSpPr>
          <a:spLocks noChangeArrowheads="1"/>
        </xdr:cNvSpPr>
      </xdr:nvSpPr>
      <xdr:spPr bwMode="auto">
        <a:xfrm>
          <a:off x="33268920" y="0"/>
          <a:ext cx="3238500" cy="0"/>
        </a:xfrm>
        <a:prstGeom prst="leftArrow">
          <a:avLst>
            <a:gd name="adj1" fmla="val 50000"/>
            <a:gd name="adj2" fmla="val -2147483648"/>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24</xdr:col>
      <xdr:colOff>144780</xdr:colOff>
      <xdr:row>0</xdr:row>
      <xdr:rowOff>0</xdr:rowOff>
    </xdr:from>
    <xdr:to>
      <xdr:col>24</xdr:col>
      <xdr:colOff>2606040</xdr:colOff>
      <xdr:row>0</xdr:row>
      <xdr:rowOff>0</xdr:rowOff>
    </xdr:to>
    <xdr:sp macro="" textlink="">
      <xdr:nvSpPr>
        <xdr:cNvPr id="14351" name="AutoShape 15">
          <a:extLst>
            <a:ext uri="{FF2B5EF4-FFF2-40B4-BE49-F238E27FC236}">
              <a16:creationId xmlns:a16="http://schemas.microsoft.com/office/drawing/2014/main" id="{00000000-0008-0000-0B00-00000F380000}"/>
            </a:ext>
          </a:extLst>
        </xdr:cNvPr>
        <xdr:cNvSpPr>
          <a:spLocks noChangeArrowheads="1"/>
        </xdr:cNvSpPr>
      </xdr:nvSpPr>
      <xdr:spPr bwMode="auto">
        <a:xfrm flipH="1">
          <a:off x="40789860" y="0"/>
          <a:ext cx="2461260" cy="0"/>
        </a:xfrm>
        <a:prstGeom prst="leftArrow">
          <a:avLst>
            <a:gd name="adj1" fmla="val 50000"/>
            <a:gd name="adj2" fmla="val -2147483648"/>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106680</xdr:colOff>
      <xdr:row>0</xdr:row>
      <xdr:rowOff>0</xdr:rowOff>
    </xdr:from>
    <xdr:to>
      <xdr:col>9</xdr:col>
      <xdr:colOff>1043940</xdr:colOff>
      <xdr:row>0</xdr:row>
      <xdr:rowOff>0</xdr:rowOff>
    </xdr:to>
    <xdr:sp macro="" textlink="">
      <xdr:nvSpPr>
        <xdr:cNvPr id="14352" name="TextBox 3">
          <a:extLst>
            <a:ext uri="{FF2B5EF4-FFF2-40B4-BE49-F238E27FC236}">
              <a16:creationId xmlns:a16="http://schemas.microsoft.com/office/drawing/2014/main" id="{00000000-0008-0000-0B00-000010380000}"/>
            </a:ext>
          </a:extLst>
        </xdr:cNvPr>
        <xdr:cNvSpPr txBox="1">
          <a:spLocks noChangeArrowheads="1"/>
        </xdr:cNvSpPr>
      </xdr:nvSpPr>
      <xdr:spPr bwMode="auto">
        <a:xfrm>
          <a:off x="9707880" y="0"/>
          <a:ext cx="9654540" cy="0"/>
        </a:xfrm>
        <a:prstGeom prst="rect">
          <a:avLst/>
        </a:prstGeom>
        <a:solidFill>
          <a:srgbClr val="EEECE1"/>
        </a:solidFill>
        <a:ln w="9525">
          <a:solidFill>
            <a:srgbClr val="000000"/>
          </a:solidFill>
          <a:miter lim="800000"/>
          <a:headEnd/>
          <a:tailEnd/>
        </a:ln>
      </xdr:spPr>
      <xdr:txBody>
        <a:bodyPr vertOverflow="clip" wrap="square" lIns="27432" tIns="18288" rIns="0" bIns="0" anchor="t"/>
        <a:lstStyle/>
        <a:p>
          <a:pPr algn="l" rtl="0">
            <a:defRPr sz="1000"/>
          </a:pPr>
          <a:r>
            <a:rPr lang="en-AU" sz="1200" b="0" i="0" u="none" strike="noStrike" baseline="0">
              <a:solidFill>
                <a:srgbClr val="000000"/>
              </a:solidFill>
              <a:latin typeface="Calibri"/>
              <a:cs typeface="Calibri"/>
            </a:rPr>
            <a:t>Please ensure that the values per head entered here reflect the  average value of the stock in the paddock at calving, not the market value when selling. The values you enter should reflect something along the lines of the values you might get in a "Clearout Sale".</a:t>
          </a:r>
        </a:p>
        <a:p>
          <a:pPr algn="l" rtl="0">
            <a:defRPr sz="1000"/>
          </a:pPr>
          <a:r>
            <a:rPr lang="en-AU" sz="1200" b="0" i="0" u="none" strike="noStrike" baseline="0">
              <a:solidFill>
                <a:srgbClr val="000000"/>
              </a:solidFill>
              <a:latin typeface="Calibri"/>
              <a:cs typeface="Calibri"/>
            </a:rPr>
            <a:t>These values are not used in this analysis to calculate the opportunity cost of livestock capital. Only the interest payable on the average annual livestock purchases is counted to allow comparison with other forages.  Please change the formula in D171 if all livestock capital is to be accounted for.</a:t>
          </a:r>
        </a:p>
      </xdr:txBody>
    </xdr:sp>
    <xdr:clientData/>
  </xdr:twoCellAnchor>
  <xdr:twoCellAnchor>
    <xdr:from>
      <xdr:col>18</xdr:col>
      <xdr:colOff>441960</xdr:colOff>
      <xdr:row>0</xdr:row>
      <xdr:rowOff>0</xdr:rowOff>
    </xdr:from>
    <xdr:to>
      <xdr:col>20</xdr:col>
      <xdr:colOff>662940</xdr:colOff>
      <xdr:row>0</xdr:row>
      <xdr:rowOff>0</xdr:rowOff>
    </xdr:to>
    <xdr:sp macro="" textlink="">
      <xdr:nvSpPr>
        <xdr:cNvPr id="14353" name="AutoShape 17">
          <a:extLst>
            <a:ext uri="{FF2B5EF4-FFF2-40B4-BE49-F238E27FC236}">
              <a16:creationId xmlns:a16="http://schemas.microsoft.com/office/drawing/2014/main" id="{00000000-0008-0000-0B00-000011380000}"/>
            </a:ext>
          </a:extLst>
        </xdr:cNvPr>
        <xdr:cNvSpPr>
          <a:spLocks noChangeArrowheads="1"/>
        </xdr:cNvSpPr>
      </xdr:nvSpPr>
      <xdr:spPr bwMode="auto">
        <a:xfrm>
          <a:off x="33268920" y="0"/>
          <a:ext cx="3238500" cy="0"/>
        </a:xfrm>
        <a:prstGeom prst="leftArrow">
          <a:avLst>
            <a:gd name="adj1" fmla="val 50000"/>
            <a:gd name="adj2" fmla="val -2147483648"/>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24</xdr:col>
      <xdr:colOff>144780</xdr:colOff>
      <xdr:row>0</xdr:row>
      <xdr:rowOff>0</xdr:rowOff>
    </xdr:from>
    <xdr:to>
      <xdr:col>24</xdr:col>
      <xdr:colOff>2606040</xdr:colOff>
      <xdr:row>0</xdr:row>
      <xdr:rowOff>0</xdr:rowOff>
    </xdr:to>
    <xdr:sp macro="" textlink="">
      <xdr:nvSpPr>
        <xdr:cNvPr id="14354" name="AutoShape 18">
          <a:extLst>
            <a:ext uri="{FF2B5EF4-FFF2-40B4-BE49-F238E27FC236}">
              <a16:creationId xmlns:a16="http://schemas.microsoft.com/office/drawing/2014/main" id="{00000000-0008-0000-0B00-000012380000}"/>
            </a:ext>
          </a:extLst>
        </xdr:cNvPr>
        <xdr:cNvSpPr>
          <a:spLocks noChangeArrowheads="1"/>
        </xdr:cNvSpPr>
      </xdr:nvSpPr>
      <xdr:spPr bwMode="auto">
        <a:xfrm flipH="1">
          <a:off x="40789860" y="0"/>
          <a:ext cx="2461260" cy="0"/>
        </a:xfrm>
        <a:prstGeom prst="leftArrow">
          <a:avLst>
            <a:gd name="adj1" fmla="val 50000"/>
            <a:gd name="adj2" fmla="val -2147483648"/>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22860</xdr:colOff>
      <xdr:row>0</xdr:row>
      <xdr:rowOff>0</xdr:rowOff>
    </xdr:from>
    <xdr:to>
      <xdr:col>10</xdr:col>
      <xdr:colOff>762000</xdr:colOff>
      <xdr:row>0</xdr:row>
      <xdr:rowOff>0</xdr:rowOff>
    </xdr:to>
    <xdr:sp macro="" textlink="">
      <xdr:nvSpPr>
        <xdr:cNvPr id="14355" name="Text Box 19">
          <a:extLst>
            <a:ext uri="{FF2B5EF4-FFF2-40B4-BE49-F238E27FC236}">
              <a16:creationId xmlns:a16="http://schemas.microsoft.com/office/drawing/2014/main" id="{00000000-0008-0000-0B00-000013380000}"/>
            </a:ext>
          </a:extLst>
        </xdr:cNvPr>
        <xdr:cNvSpPr txBox="1">
          <a:spLocks noChangeArrowheads="1"/>
        </xdr:cNvSpPr>
      </xdr:nvSpPr>
      <xdr:spPr bwMode="auto">
        <a:xfrm>
          <a:off x="9624060" y="0"/>
          <a:ext cx="11452860" cy="0"/>
        </a:xfrm>
        <a:prstGeom prst="rect">
          <a:avLst/>
        </a:prstGeom>
        <a:solidFill>
          <a:srgbClr val="EAEAEA"/>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en-AU" sz="1200" b="0" i="0" u="none" strike="noStrike" baseline="0">
              <a:solidFill>
                <a:srgbClr val="000000"/>
              </a:solidFill>
              <a:latin typeface="Arial"/>
              <a:cs typeface="Arial"/>
            </a:rPr>
            <a:t>Note:</a:t>
          </a:r>
        </a:p>
        <a:p>
          <a:pPr algn="l" rtl="0">
            <a:defRPr sz="1000"/>
          </a:pPr>
          <a:r>
            <a:rPr lang="en-AU" sz="1200" b="0" i="0" u="none" strike="noStrike" baseline="0">
              <a:solidFill>
                <a:srgbClr val="000000"/>
              </a:solidFill>
              <a:latin typeface="Arial"/>
              <a:cs typeface="Arial"/>
            </a:rPr>
            <a:t>Adult Equivalents (AEs) for dry cattle are based on relativity to a standard weight of beast carried for 12 months.  One adult equivalent (AE) can be thought of as the amount of feed consumed in 12 months by a non-lactating animal of average weight 450 kg. Therefore, if average feed consumption is 2.2% of bodyweight, this would be equivalent to approx 3,650 kg dry matter per year for one AE.</a:t>
          </a:r>
        </a:p>
      </xdr:txBody>
    </xdr:sp>
    <xdr:clientData/>
  </xdr:twoCellAnchor>
  <xdr:twoCellAnchor>
    <xdr:from>
      <xdr:col>18</xdr:col>
      <xdr:colOff>441960</xdr:colOff>
      <xdr:row>102</xdr:row>
      <xdr:rowOff>167640</xdr:rowOff>
    </xdr:from>
    <xdr:to>
      <xdr:col>20</xdr:col>
      <xdr:colOff>662940</xdr:colOff>
      <xdr:row>104</xdr:row>
      <xdr:rowOff>68580</xdr:rowOff>
    </xdr:to>
    <xdr:sp macro="" textlink="">
      <xdr:nvSpPr>
        <xdr:cNvPr id="14356" name="AutoShape 20">
          <a:extLst>
            <a:ext uri="{FF2B5EF4-FFF2-40B4-BE49-F238E27FC236}">
              <a16:creationId xmlns:a16="http://schemas.microsoft.com/office/drawing/2014/main" id="{00000000-0008-0000-0B00-000014380000}"/>
            </a:ext>
          </a:extLst>
        </xdr:cNvPr>
        <xdr:cNvSpPr>
          <a:spLocks noChangeArrowheads="1"/>
        </xdr:cNvSpPr>
      </xdr:nvSpPr>
      <xdr:spPr bwMode="auto">
        <a:xfrm>
          <a:off x="33268920" y="23644860"/>
          <a:ext cx="3238500" cy="281940"/>
        </a:xfrm>
        <a:prstGeom prst="leftArrow">
          <a:avLst>
            <a:gd name="adj1" fmla="val 50000"/>
            <a:gd name="adj2" fmla="val 287162"/>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24</xdr:col>
      <xdr:colOff>144780</xdr:colOff>
      <xdr:row>103</xdr:row>
      <xdr:rowOff>68580</xdr:rowOff>
    </xdr:from>
    <xdr:to>
      <xdr:col>24</xdr:col>
      <xdr:colOff>2598420</xdr:colOff>
      <xdr:row>104</xdr:row>
      <xdr:rowOff>182880</xdr:rowOff>
    </xdr:to>
    <xdr:sp macro="" textlink="">
      <xdr:nvSpPr>
        <xdr:cNvPr id="14357" name="AutoShape 21">
          <a:extLst>
            <a:ext uri="{FF2B5EF4-FFF2-40B4-BE49-F238E27FC236}">
              <a16:creationId xmlns:a16="http://schemas.microsoft.com/office/drawing/2014/main" id="{00000000-0008-0000-0B00-000015380000}"/>
            </a:ext>
          </a:extLst>
        </xdr:cNvPr>
        <xdr:cNvSpPr>
          <a:spLocks noChangeArrowheads="1"/>
        </xdr:cNvSpPr>
      </xdr:nvSpPr>
      <xdr:spPr bwMode="auto">
        <a:xfrm flipH="1">
          <a:off x="40789860" y="23736300"/>
          <a:ext cx="2453640" cy="304800"/>
        </a:xfrm>
        <a:prstGeom prst="leftArrow">
          <a:avLst>
            <a:gd name="adj1" fmla="val 50000"/>
            <a:gd name="adj2" fmla="val 201250"/>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22860</xdr:colOff>
      <xdr:row>176</xdr:row>
      <xdr:rowOff>160020</xdr:rowOff>
    </xdr:from>
    <xdr:to>
      <xdr:col>11</xdr:col>
      <xdr:colOff>762000</xdr:colOff>
      <xdr:row>180</xdr:row>
      <xdr:rowOff>99060</xdr:rowOff>
    </xdr:to>
    <xdr:sp macro="" textlink="">
      <xdr:nvSpPr>
        <xdr:cNvPr id="14358" name="Text Box 22">
          <a:extLst>
            <a:ext uri="{FF2B5EF4-FFF2-40B4-BE49-F238E27FC236}">
              <a16:creationId xmlns:a16="http://schemas.microsoft.com/office/drawing/2014/main" id="{00000000-0008-0000-0B00-000016380000}"/>
            </a:ext>
          </a:extLst>
        </xdr:cNvPr>
        <xdr:cNvSpPr txBox="1">
          <a:spLocks noChangeArrowheads="1"/>
        </xdr:cNvSpPr>
      </xdr:nvSpPr>
      <xdr:spPr bwMode="auto">
        <a:xfrm>
          <a:off x="12138660" y="38130480"/>
          <a:ext cx="10767060" cy="701040"/>
        </a:xfrm>
        <a:prstGeom prst="rect">
          <a:avLst/>
        </a:prstGeom>
        <a:solidFill>
          <a:srgbClr val="EAEAEA"/>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en-AU" sz="1200" b="0" i="0" u="none" strike="noStrike" baseline="0">
              <a:solidFill>
                <a:srgbClr val="000000"/>
              </a:solidFill>
              <a:latin typeface="Arial"/>
              <a:cs typeface="Arial"/>
            </a:rPr>
            <a:t>Note:</a:t>
          </a:r>
        </a:p>
        <a:p>
          <a:pPr algn="l" rtl="0">
            <a:defRPr sz="1000"/>
          </a:pPr>
          <a:r>
            <a:rPr lang="en-AU" sz="1200" b="0" i="0" u="none" strike="noStrike" baseline="0">
              <a:solidFill>
                <a:srgbClr val="000000"/>
              </a:solidFill>
              <a:latin typeface="Arial"/>
              <a:cs typeface="Arial"/>
            </a:rPr>
            <a:t>Adult Equivalents (AEs) for dry cattle are based on relativity to a standard weight of beast carried for 12 months.  One adult equivalent (AE) can be thought of as the amount of feed consumed in 12 months by a non-lactating animal of average weight 450 kg. Therefore, if average feed consumption is 2.2% of bodyweight, this would be equivalent to approx 3,650 kg dry matter per year for one AE.</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106680</xdr:colOff>
      <xdr:row>0</xdr:row>
      <xdr:rowOff>0</xdr:rowOff>
    </xdr:from>
    <xdr:to>
      <xdr:col>9</xdr:col>
      <xdr:colOff>1043940</xdr:colOff>
      <xdr:row>0</xdr:row>
      <xdr:rowOff>0</xdr:rowOff>
    </xdr:to>
    <xdr:sp macro="" textlink="">
      <xdr:nvSpPr>
        <xdr:cNvPr id="16385" name="TextBox 3">
          <a:extLst>
            <a:ext uri="{FF2B5EF4-FFF2-40B4-BE49-F238E27FC236}">
              <a16:creationId xmlns:a16="http://schemas.microsoft.com/office/drawing/2014/main" id="{00000000-0008-0000-0C00-000001400000}"/>
            </a:ext>
          </a:extLst>
        </xdr:cNvPr>
        <xdr:cNvSpPr txBox="1">
          <a:spLocks noChangeArrowheads="1"/>
        </xdr:cNvSpPr>
      </xdr:nvSpPr>
      <xdr:spPr bwMode="auto">
        <a:xfrm>
          <a:off x="9707880" y="0"/>
          <a:ext cx="9654540" cy="0"/>
        </a:xfrm>
        <a:prstGeom prst="rect">
          <a:avLst/>
        </a:prstGeom>
        <a:solidFill>
          <a:srgbClr val="EEECE1"/>
        </a:solidFill>
        <a:ln w="9525">
          <a:solidFill>
            <a:srgbClr val="000000"/>
          </a:solidFill>
          <a:miter lim="800000"/>
          <a:headEnd/>
          <a:tailEnd/>
        </a:ln>
      </xdr:spPr>
      <xdr:txBody>
        <a:bodyPr vertOverflow="clip" wrap="square" lIns="27432" tIns="18288" rIns="0" bIns="0" anchor="t"/>
        <a:lstStyle/>
        <a:p>
          <a:pPr algn="l" rtl="0">
            <a:defRPr sz="1000"/>
          </a:pPr>
          <a:r>
            <a:rPr lang="en-AU" sz="1200" b="0" i="0" u="none" strike="noStrike" baseline="0">
              <a:solidFill>
                <a:srgbClr val="000000"/>
              </a:solidFill>
              <a:latin typeface="Calibri"/>
              <a:cs typeface="Calibri"/>
            </a:rPr>
            <a:t>Please ensure that the values per head entered here reflect the  average value of the stock in the paddock at calving, not the market value when selling. The values you enter should reflect something along the lines of the values you might get in a "Clearout Sale".</a:t>
          </a:r>
        </a:p>
        <a:p>
          <a:pPr algn="l" rtl="0">
            <a:defRPr sz="1000"/>
          </a:pPr>
          <a:r>
            <a:rPr lang="en-AU" sz="1200" b="0" i="0" u="none" strike="noStrike" baseline="0">
              <a:solidFill>
                <a:srgbClr val="000000"/>
              </a:solidFill>
              <a:latin typeface="Calibri"/>
              <a:cs typeface="Calibri"/>
            </a:rPr>
            <a:t>These values are not used in this analysis to calculate the opportunity cost of livestock capital. Only the interest payable on the average annual livestock purchases is counted to allow comparison with other forages.  Please change the formula in D171 if all livestock capital is to be accounted for.</a:t>
          </a:r>
        </a:p>
      </xdr:txBody>
    </xdr:sp>
    <xdr:clientData/>
  </xdr:twoCellAnchor>
  <xdr:twoCellAnchor>
    <xdr:from>
      <xdr:col>18</xdr:col>
      <xdr:colOff>441960</xdr:colOff>
      <xdr:row>0</xdr:row>
      <xdr:rowOff>0</xdr:rowOff>
    </xdr:from>
    <xdr:to>
      <xdr:col>20</xdr:col>
      <xdr:colOff>662940</xdr:colOff>
      <xdr:row>0</xdr:row>
      <xdr:rowOff>0</xdr:rowOff>
    </xdr:to>
    <xdr:sp macro="" textlink="">
      <xdr:nvSpPr>
        <xdr:cNvPr id="16387" name="AutoShape 3">
          <a:extLst>
            <a:ext uri="{FF2B5EF4-FFF2-40B4-BE49-F238E27FC236}">
              <a16:creationId xmlns:a16="http://schemas.microsoft.com/office/drawing/2014/main" id="{00000000-0008-0000-0C00-000003400000}"/>
            </a:ext>
          </a:extLst>
        </xdr:cNvPr>
        <xdr:cNvSpPr>
          <a:spLocks noChangeArrowheads="1"/>
        </xdr:cNvSpPr>
      </xdr:nvSpPr>
      <xdr:spPr bwMode="auto">
        <a:xfrm>
          <a:off x="33268920" y="0"/>
          <a:ext cx="3238500" cy="0"/>
        </a:xfrm>
        <a:prstGeom prst="leftArrow">
          <a:avLst>
            <a:gd name="adj1" fmla="val 50000"/>
            <a:gd name="adj2" fmla="val -2147483648"/>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24</xdr:col>
      <xdr:colOff>144780</xdr:colOff>
      <xdr:row>0</xdr:row>
      <xdr:rowOff>0</xdr:rowOff>
    </xdr:from>
    <xdr:to>
      <xdr:col>24</xdr:col>
      <xdr:colOff>2606040</xdr:colOff>
      <xdr:row>0</xdr:row>
      <xdr:rowOff>0</xdr:rowOff>
    </xdr:to>
    <xdr:sp macro="" textlink="">
      <xdr:nvSpPr>
        <xdr:cNvPr id="16388" name="AutoShape 4">
          <a:extLst>
            <a:ext uri="{FF2B5EF4-FFF2-40B4-BE49-F238E27FC236}">
              <a16:creationId xmlns:a16="http://schemas.microsoft.com/office/drawing/2014/main" id="{00000000-0008-0000-0C00-000004400000}"/>
            </a:ext>
          </a:extLst>
        </xdr:cNvPr>
        <xdr:cNvSpPr>
          <a:spLocks noChangeArrowheads="1"/>
        </xdr:cNvSpPr>
      </xdr:nvSpPr>
      <xdr:spPr bwMode="auto">
        <a:xfrm flipH="1">
          <a:off x="40789860" y="0"/>
          <a:ext cx="2461260" cy="0"/>
        </a:xfrm>
        <a:prstGeom prst="leftArrow">
          <a:avLst>
            <a:gd name="adj1" fmla="val 50000"/>
            <a:gd name="adj2" fmla="val -2147483648"/>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22860</xdr:colOff>
      <xdr:row>0</xdr:row>
      <xdr:rowOff>0</xdr:rowOff>
    </xdr:from>
    <xdr:to>
      <xdr:col>10</xdr:col>
      <xdr:colOff>762000</xdr:colOff>
      <xdr:row>0</xdr:row>
      <xdr:rowOff>0</xdr:rowOff>
    </xdr:to>
    <xdr:sp macro="" textlink="">
      <xdr:nvSpPr>
        <xdr:cNvPr id="16389" name="Text Box 5">
          <a:extLst>
            <a:ext uri="{FF2B5EF4-FFF2-40B4-BE49-F238E27FC236}">
              <a16:creationId xmlns:a16="http://schemas.microsoft.com/office/drawing/2014/main" id="{00000000-0008-0000-0C00-000005400000}"/>
            </a:ext>
          </a:extLst>
        </xdr:cNvPr>
        <xdr:cNvSpPr txBox="1">
          <a:spLocks noChangeArrowheads="1"/>
        </xdr:cNvSpPr>
      </xdr:nvSpPr>
      <xdr:spPr bwMode="auto">
        <a:xfrm>
          <a:off x="9624060" y="0"/>
          <a:ext cx="11452860" cy="0"/>
        </a:xfrm>
        <a:prstGeom prst="rect">
          <a:avLst/>
        </a:prstGeom>
        <a:solidFill>
          <a:srgbClr val="EAEAEA"/>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en-AU" sz="1200" b="0" i="0" u="none" strike="noStrike" baseline="0">
              <a:solidFill>
                <a:srgbClr val="000000"/>
              </a:solidFill>
              <a:latin typeface="Arial"/>
              <a:cs typeface="Arial"/>
            </a:rPr>
            <a:t>Note:</a:t>
          </a:r>
        </a:p>
        <a:p>
          <a:pPr algn="l" rtl="0">
            <a:defRPr sz="1000"/>
          </a:pPr>
          <a:r>
            <a:rPr lang="en-AU" sz="1200" b="0" i="0" u="none" strike="noStrike" baseline="0">
              <a:solidFill>
                <a:srgbClr val="000000"/>
              </a:solidFill>
              <a:latin typeface="Arial"/>
              <a:cs typeface="Arial"/>
            </a:rPr>
            <a:t>Adult Equivalents (AEs) for dry cattle are based on relativity to a standard weight of beast carried for 12 months.  One adult equivalent (AE) can be thought of as the amount of feed consumed in 12 months by a non-lactating animal of average weight 450 kg. Therefore, if average feed consumption is 2.2% of bodyweight, this would be equivalent to approx 3,650 kg dry matter per year for one AE.</a:t>
          </a:r>
        </a:p>
      </xdr:txBody>
    </xdr:sp>
    <xdr:clientData/>
  </xdr:twoCellAnchor>
  <xdr:twoCellAnchor>
    <xdr:from>
      <xdr:col>5</xdr:col>
      <xdr:colOff>22860</xdr:colOff>
      <xdr:row>233</xdr:row>
      <xdr:rowOff>160020</xdr:rowOff>
    </xdr:from>
    <xdr:to>
      <xdr:col>10</xdr:col>
      <xdr:colOff>762000</xdr:colOff>
      <xdr:row>237</xdr:row>
      <xdr:rowOff>99060</xdr:rowOff>
    </xdr:to>
    <xdr:sp macro="" textlink="">
      <xdr:nvSpPr>
        <xdr:cNvPr id="16391" name="Text Box 7">
          <a:extLst>
            <a:ext uri="{FF2B5EF4-FFF2-40B4-BE49-F238E27FC236}">
              <a16:creationId xmlns:a16="http://schemas.microsoft.com/office/drawing/2014/main" id="{00000000-0008-0000-0C00-000007400000}"/>
            </a:ext>
          </a:extLst>
        </xdr:cNvPr>
        <xdr:cNvSpPr txBox="1">
          <a:spLocks noChangeArrowheads="1"/>
        </xdr:cNvSpPr>
      </xdr:nvSpPr>
      <xdr:spPr bwMode="auto">
        <a:xfrm>
          <a:off x="9624060" y="49042320"/>
          <a:ext cx="11452860" cy="701040"/>
        </a:xfrm>
        <a:prstGeom prst="rect">
          <a:avLst/>
        </a:prstGeom>
        <a:solidFill>
          <a:srgbClr val="EAEAEA"/>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en-AU" sz="1200" b="0" i="0" u="none" strike="noStrike" baseline="0">
              <a:solidFill>
                <a:srgbClr val="000000"/>
              </a:solidFill>
              <a:latin typeface="Arial"/>
              <a:cs typeface="Arial"/>
            </a:rPr>
            <a:t>Note:</a:t>
          </a:r>
        </a:p>
        <a:p>
          <a:pPr algn="l" rtl="0">
            <a:defRPr sz="1000"/>
          </a:pPr>
          <a:r>
            <a:rPr lang="en-AU" sz="1200" b="0" i="0" u="none" strike="noStrike" baseline="0">
              <a:solidFill>
                <a:srgbClr val="000000"/>
              </a:solidFill>
              <a:latin typeface="Arial"/>
              <a:cs typeface="Arial"/>
            </a:rPr>
            <a:t>Adult Equivalents (AEs) for dry cattle are based on relativity to a standard weight of beast carried for 12 months.  One adult equivalent (AE) can be thought of as the amount of feed consumed in 12 months by a non-lactating animal of average weight 450 kg. Therefore, if average feed consumption is 2.2% of bodyweight, this would be equivalent to approx 3,650 kg dry matter per year for one AE.</a:t>
          </a:r>
        </a:p>
      </xdr:txBody>
    </xdr:sp>
    <xdr:clientData/>
  </xdr:twoCellAnchor>
  <xdr:twoCellAnchor>
    <xdr:from>
      <xdr:col>18</xdr:col>
      <xdr:colOff>441960</xdr:colOff>
      <xdr:row>147</xdr:row>
      <xdr:rowOff>167640</xdr:rowOff>
    </xdr:from>
    <xdr:to>
      <xdr:col>20</xdr:col>
      <xdr:colOff>662940</xdr:colOff>
      <xdr:row>149</xdr:row>
      <xdr:rowOff>68580</xdr:rowOff>
    </xdr:to>
    <xdr:sp macro="" textlink="">
      <xdr:nvSpPr>
        <xdr:cNvPr id="16392" name="AutoShape 8">
          <a:extLst>
            <a:ext uri="{FF2B5EF4-FFF2-40B4-BE49-F238E27FC236}">
              <a16:creationId xmlns:a16="http://schemas.microsoft.com/office/drawing/2014/main" id="{00000000-0008-0000-0C00-000008400000}"/>
            </a:ext>
          </a:extLst>
        </xdr:cNvPr>
        <xdr:cNvSpPr>
          <a:spLocks noChangeArrowheads="1"/>
        </xdr:cNvSpPr>
      </xdr:nvSpPr>
      <xdr:spPr bwMode="auto">
        <a:xfrm>
          <a:off x="33268920" y="32491680"/>
          <a:ext cx="3238500" cy="289560"/>
        </a:xfrm>
        <a:prstGeom prst="leftArrow">
          <a:avLst>
            <a:gd name="adj1" fmla="val 50000"/>
            <a:gd name="adj2" fmla="val 279605"/>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24</xdr:col>
      <xdr:colOff>144780</xdr:colOff>
      <xdr:row>148</xdr:row>
      <xdr:rowOff>68580</xdr:rowOff>
    </xdr:from>
    <xdr:to>
      <xdr:col>24</xdr:col>
      <xdr:colOff>2598420</xdr:colOff>
      <xdr:row>149</xdr:row>
      <xdr:rowOff>182880</xdr:rowOff>
    </xdr:to>
    <xdr:sp macro="" textlink="">
      <xdr:nvSpPr>
        <xdr:cNvPr id="16393" name="AutoShape 9">
          <a:extLst>
            <a:ext uri="{FF2B5EF4-FFF2-40B4-BE49-F238E27FC236}">
              <a16:creationId xmlns:a16="http://schemas.microsoft.com/office/drawing/2014/main" id="{00000000-0008-0000-0C00-000009400000}"/>
            </a:ext>
          </a:extLst>
        </xdr:cNvPr>
        <xdr:cNvSpPr>
          <a:spLocks noChangeArrowheads="1"/>
        </xdr:cNvSpPr>
      </xdr:nvSpPr>
      <xdr:spPr bwMode="auto">
        <a:xfrm flipH="1">
          <a:off x="40789860" y="32590740"/>
          <a:ext cx="2453640" cy="304800"/>
        </a:xfrm>
        <a:prstGeom prst="leftArrow">
          <a:avLst>
            <a:gd name="adj1" fmla="val 50000"/>
            <a:gd name="adj2" fmla="val 201250"/>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18</xdr:col>
      <xdr:colOff>441960</xdr:colOff>
      <xdr:row>0</xdr:row>
      <xdr:rowOff>0</xdr:rowOff>
    </xdr:from>
    <xdr:to>
      <xdr:col>20</xdr:col>
      <xdr:colOff>662940</xdr:colOff>
      <xdr:row>0</xdr:row>
      <xdr:rowOff>0</xdr:rowOff>
    </xdr:to>
    <xdr:sp macro="" textlink="">
      <xdr:nvSpPr>
        <xdr:cNvPr id="16395" name="AutoShape 11">
          <a:extLst>
            <a:ext uri="{FF2B5EF4-FFF2-40B4-BE49-F238E27FC236}">
              <a16:creationId xmlns:a16="http://schemas.microsoft.com/office/drawing/2014/main" id="{00000000-0008-0000-0C00-00000B400000}"/>
            </a:ext>
          </a:extLst>
        </xdr:cNvPr>
        <xdr:cNvSpPr>
          <a:spLocks noChangeArrowheads="1"/>
        </xdr:cNvSpPr>
      </xdr:nvSpPr>
      <xdr:spPr bwMode="auto">
        <a:xfrm>
          <a:off x="33268920" y="0"/>
          <a:ext cx="3238500" cy="0"/>
        </a:xfrm>
        <a:prstGeom prst="leftArrow">
          <a:avLst>
            <a:gd name="adj1" fmla="val 50000"/>
            <a:gd name="adj2" fmla="val -2147483648"/>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24</xdr:col>
      <xdr:colOff>144780</xdr:colOff>
      <xdr:row>0</xdr:row>
      <xdr:rowOff>0</xdr:rowOff>
    </xdr:from>
    <xdr:to>
      <xdr:col>24</xdr:col>
      <xdr:colOff>2606040</xdr:colOff>
      <xdr:row>0</xdr:row>
      <xdr:rowOff>0</xdr:rowOff>
    </xdr:to>
    <xdr:sp macro="" textlink="">
      <xdr:nvSpPr>
        <xdr:cNvPr id="16396" name="AutoShape 12">
          <a:extLst>
            <a:ext uri="{FF2B5EF4-FFF2-40B4-BE49-F238E27FC236}">
              <a16:creationId xmlns:a16="http://schemas.microsoft.com/office/drawing/2014/main" id="{00000000-0008-0000-0C00-00000C400000}"/>
            </a:ext>
          </a:extLst>
        </xdr:cNvPr>
        <xdr:cNvSpPr>
          <a:spLocks noChangeArrowheads="1"/>
        </xdr:cNvSpPr>
      </xdr:nvSpPr>
      <xdr:spPr bwMode="auto">
        <a:xfrm flipH="1">
          <a:off x="40789860" y="0"/>
          <a:ext cx="2461260" cy="0"/>
        </a:xfrm>
        <a:prstGeom prst="leftArrow">
          <a:avLst>
            <a:gd name="adj1" fmla="val 50000"/>
            <a:gd name="adj2" fmla="val -2147483648"/>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18</xdr:col>
      <xdr:colOff>441960</xdr:colOff>
      <xdr:row>0</xdr:row>
      <xdr:rowOff>0</xdr:rowOff>
    </xdr:from>
    <xdr:to>
      <xdr:col>20</xdr:col>
      <xdr:colOff>662940</xdr:colOff>
      <xdr:row>0</xdr:row>
      <xdr:rowOff>0</xdr:rowOff>
    </xdr:to>
    <xdr:sp macro="" textlink="">
      <xdr:nvSpPr>
        <xdr:cNvPr id="16397" name="AutoShape 13">
          <a:extLst>
            <a:ext uri="{FF2B5EF4-FFF2-40B4-BE49-F238E27FC236}">
              <a16:creationId xmlns:a16="http://schemas.microsoft.com/office/drawing/2014/main" id="{00000000-0008-0000-0C00-00000D400000}"/>
            </a:ext>
          </a:extLst>
        </xdr:cNvPr>
        <xdr:cNvSpPr>
          <a:spLocks noChangeArrowheads="1"/>
        </xdr:cNvSpPr>
      </xdr:nvSpPr>
      <xdr:spPr bwMode="auto">
        <a:xfrm>
          <a:off x="33268920" y="0"/>
          <a:ext cx="3238500" cy="0"/>
        </a:xfrm>
        <a:prstGeom prst="leftArrow">
          <a:avLst>
            <a:gd name="adj1" fmla="val 50000"/>
            <a:gd name="adj2" fmla="val -2147483648"/>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24</xdr:col>
      <xdr:colOff>144780</xdr:colOff>
      <xdr:row>0</xdr:row>
      <xdr:rowOff>0</xdr:rowOff>
    </xdr:from>
    <xdr:to>
      <xdr:col>24</xdr:col>
      <xdr:colOff>2606040</xdr:colOff>
      <xdr:row>0</xdr:row>
      <xdr:rowOff>0</xdr:rowOff>
    </xdr:to>
    <xdr:sp macro="" textlink="">
      <xdr:nvSpPr>
        <xdr:cNvPr id="16398" name="AutoShape 14">
          <a:extLst>
            <a:ext uri="{FF2B5EF4-FFF2-40B4-BE49-F238E27FC236}">
              <a16:creationId xmlns:a16="http://schemas.microsoft.com/office/drawing/2014/main" id="{00000000-0008-0000-0C00-00000E400000}"/>
            </a:ext>
          </a:extLst>
        </xdr:cNvPr>
        <xdr:cNvSpPr>
          <a:spLocks noChangeArrowheads="1"/>
        </xdr:cNvSpPr>
      </xdr:nvSpPr>
      <xdr:spPr bwMode="auto">
        <a:xfrm flipH="1">
          <a:off x="40789860" y="0"/>
          <a:ext cx="2461260" cy="0"/>
        </a:xfrm>
        <a:prstGeom prst="leftArrow">
          <a:avLst>
            <a:gd name="adj1" fmla="val 50000"/>
            <a:gd name="adj2" fmla="val -2147483648"/>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106680</xdr:colOff>
      <xdr:row>0</xdr:row>
      <xdr:rowOff>0</xdr:rowOff>
    </xdr:from>
    <xdr:to>
      <xdr:col>9</xdr:col>
      <xdr:colOff>1043940</xdr:colOff>
      <xdr:row>0</xdr:row>
      <xdr:rowOff>0</xdr:rowOff>
    </xdr:to>
    <xdr:sp macro="" textlink="">
      <xdr:nvSpPr>
        <xdr:cNvPr id="16399" name="TextBox 3">
          <a:extLst>
            <a:ext uri="{FF2B5EF4-FFF2-40B4-BE49-F238E27FC236}">
              <a16:creationId xmlns:a16="http://schemas.microsoft.com/office/drawing/2014/main" id="{00000000-0008-0000-0C00-00000F400000}"/>
            </a:ext>
          </a:extLst>
        </xdr:cNvPr>
        <xdr:cNvSpPr txBox="1">
          <a:spLocks noChangeArrowheads="1"/>
        </xdr:cNvSpPr>
      </xdr:nvSpPr>
      <xdr:spPr bwMode="auto">
        <a:xfrm>
          <a:off x="9707880" y="0"/>
          <a:ext cx="9654540" cy="0"/>
        </a:xfrm>
        <a:prstGeom prst="rect">
          <a:avLst/>
        </a:prstGeom>
        <a:solidFill>
          <a:srgbClr val="EEECE1"/>
        </a:solidFill>
        <a:ln w="9525">
          <a:solidFill>
            <a:srgbClr val="000000"/>
          </a:solidFill>
          <a:miter lim="800000"/>
          <a:headEnd/>
          <a:tailEnd/>
        </a:ln>
      </xdr:spPr>
      <xdr:txBody>
        <a:bodyPr vertOverflow="clip" wrap="square" lIns="27432" tIns="18288" rIns="0" bIns="0" anchor="t"/>
        <a:lstStyle/>
        <a:p>
          <a:pPr algn="l" rtl="0">
            <a:defRPr sz="1000"/>
          </a:pPr>
          <a:r>
            <a:rPr lang="en-AU" sz="1200" b="0" i="0" u="none" strike="noStrike" baseline="0">
              <a:solidFill>
                <a:srgbClr val="000000"/>
              </a:solidFill>
              <a:latin typeface="Calibri"/>
              <a:cs typeface="Calibri"/>
            </a:rPr>
            <a:t>Please ensure that the values per head entered here reflect the  average value of the stock in the paddock at calving, not the market value when selling. The values you enter should reflect something along the lines of the values you might get in a "Clearout Sale".</a:t>
          </a:r>
        </a:p>
        <a:p>
          <a:pPr algn="l" rtl="0">
            <a:defRPr sz="1000"/>
          </a:pPr>
          <a:r>
            <a:rPr lang="en-AU" sz="1200" b="0" i="0" u="none" strike="noStrike" baseline="0">
              <a:solidFill>
                <a:srgbClr val="000000"/>
              </a:solidFill>
              <a:latin typeface="Calibri"/>
              <a:cs typeface="Calibri"/>
            </a:rPr>
            <a:t>These values are not used in this analysis to calculate the opportunity cost of livestock capital. Only the interest payable on the average annual livestock purchases is counted to allow comparison with other forages.  Please change the formula in D171 if all livestock capital is to be accounted for.</a:t>
          </a:r>
        </a:p>
      </xdr:txBody>
    </xdr:sp>
    <xdr:clientData/>
  </xdr:twoCellAnchor>
  <xdr:twoCellAnchor>
    <xdr:from>
      <xdr:col>18</xdr:col>
      <xdr:colOff>441960</xdr:colOff>
      <xdr:row>0</xdr:row>
      <xdr:rowOff>0</xdr:rowOff>
    </xdr:from>
    <xdr:to>
      <xdr:col>20</xdr:col>
      <xdr:colOff>662940</xdr:colOff>
      <xdr:row>0</xdr:row>
      <xdr:rowOff>0</xdr:rowOff>
    </xdr:to>
    <xdr:sp macro="" textlink="">
      <xdr:nvSpPr>
        <xdr:cNvPr id="16400" name="AutoShape 16">
          <a:extLst>
            <a:ext uri="{FF2B5EF4-FFF2-40B4-BE49-F238E27FC236}">
              <a16:creationId xmlns:a16="http://schemas.microsoft.com/office/drawing/2014/main" id="{00000000-0008-0000-0C00-000010400000}"/>
            </a:ext>
          </a:extLst>
        </xdr:cNvPr>
        <xdr:cNvSpPr>
          <a:spLocks noChangeArrowheads="1"/>
        </xdr:cNvSpPr>
      </xdr:nvSpPr>
      <xdr:spPr bwMode="auto">
        <a:xfrm>
          <a:off x="33268920" y="0"/>
          <a:ext cx="3238500" cy="0"/>
        </a:xfrm>
        <a:prstGeom prst="leftArrow">
          <a:avLst>
            <a:gd name="adj1" fmla="val 50000"/>
            <a:gd name="adj2" fmla="val -2147483648"/>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24</xdr:col>
      <xdr:colOff>144780</xdr:colOff>
      <xdr:row>0</xdr:row>
      <xdr:rowOff>0</xdr:rowOff>
    </xdr:from>
    <xdr:to>
      <xdr:col>24</xdr:col>
      <xdr:colOff>2606040</xdr:colOff>
      <xdr:row>0</xdr:row>
      <xdr:rowOff>0</xdr:rowOff>
    </xdr:to>
    <xdr:sp macro="" textlink="">
      <xdr:nvSpPr>
        <xdr:cNvPr id="16401" name="AutoShape 17">
          <a:extLst>
            <a:ext uri="{FF2B5EF4-FFF2-40B4-BE49-F238E27FC236}">
              <a16:creationId xmlns:a16="http://schemas.microsoft.com/office/drawing/2014/main" id="{00000000-0008-0000-0C00-000011400000}"/>
            </a:ext>
          </a:extLst>
        </xdr:cNvPr>
        <xdr:cNvSpPr>
          <a:spLocks noChangeArrowheads="1"/>
        </xdr:cNvSpPr>
      </xdr:nvSpPr>
      <xdr:spPr bwMode="auto">
        <a:xfrm flipH="1">
          <a:off x="40789860" y="0"/>
          <a:ext cx="2461260" cy="0"/>
        </a:xfrm>
        <a:prstGeom prst="leftArrow">
          <a:avLst>
            <a:gd name="adj1" fmla="val 50000"/>
            <a:gd name="adj2" fmla="val -2147483648"/>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22860</xdr:colOff>
      <xdr:row>0</xdr:row>
      <xdr:rowOff>0</xdr:rowOff>
    </xdr:from>
    <xdr:to>
      <xdr:col>10</xdr:col>
      <xdr:colOff>762000</xdr:colOff>
      <xdr:row>0</xdr:row>
      <xdr:rowOff>0</xdr:rowOff>
    </xdr:to>
    <xdr:sp macro="" textlink="">
      <xdr:nvSpPr>
        <xdr:cNvPr id="16402" name="Text Box 18">
          <a:extLst>
            <a:ext uri="{FF2B5EF4-FFF2-40B4-BE49-F238E27FC236}">
              <a16:creationId xmlns:a16="http://schemas.microsoft.com/office/drawing/2014/main" id="{00000000-0008-0000-0C00-000012400000}"/>
            </a:ext>
          </a:extLst>
        </xdr:cNvPr>
        <xdr:cNvSpPr txBox="1">
          <a:spLocks noChangeArrowheads="1"/>
        </xdr:cNvSpPr>
      </xdr:nvSpPr>
      <xdr:spPr bwMode="auto">
        <a:xfrm>
          <a:off x="9624060" y="0"/>
          <a:ext cx="11452860" cy="0"/>
        </a:xfrm>
        <a:prstGeom prst="rect">
          <a:avLst/>
        </a:prstGeom>
        <a:solidFill>
          <a:srgbClr val="EAEAEA"/>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en-AU" sz="1200" b="0" i="0" u="none" strike="noStrike" baseline="0">
              <a:solidFill>
                <a:srgbClr val="000000"/>
              </a:solidFill>
              <a:latin typeface="Arial"/>
              <a:cs typeface="Arial"/>
            </a:rPr>
            <a:t>Note:</a:t>
          </a:r>
        </a:p>
        <a:p>
          <a:pPr algn="l" rtl="0">
            <a:defRPr sz="1000"/>
          </a:pPr>
          <a:r>
            <a:rPr lang="en-AU" sz="1200" b="0" i="0" u="none" strike="noStrike" baseline="0">
              <a:solidFill>
                <a:srgbClr val="000000"/>
              </a:solidFill>
              <a:latin typeface="Arial"/>
              <a:cs typeface="Arial"/>
            </a:rPr>
            <a:t>Adult Equivalents (AEs) for dry cattle are based on relativity to a standard weight of beast carried for 12 months.  One adult equivalent (AE) can be thought of as the amount of feed consumed in 12 months by a non-lactating animal of average weight 450 kg. Therefore, if average feed consumption is 2.2% of bodyweight, this would be equivalent to approx 3,650 kg dry matter per year for one AE.</a:t>
          </a:r>
        </a:p>
      </xdr:txBody>
    </xdr:sp>
    <xdr:clientData/>
  </xdr:twoCellAnchor>
  <xdr:twoCellAnchor>
    <xdr:from>
      <xdr:col>5</xdr:col>
      <xdr:colOff>22860</xdr:colOff>
      <xdr:row>233</xdr:row>
      <xdr:rowOff>160020</xdr:rowOff>
    </xdr:from>
    <xdr:to>
      <xdr:col>10</xdr:col>
      <xdr:colOff>762000</xdr:colOff>
      <xdr:row>237</xdr:row>
      <xdr:rowOff>99060</xdr:rowOff>
    </xdr:to>
    <xdr:sp macro="" textlink="">
      <xdr:nvSpPr>
        <xdr:cNvPr id="16403" name="Text Box 19">
          <a:extLst>
            <a:ext uri="{FF2B5EF4-FFF2-40B4-BE49-F238E27FC236}">
              <a16:creationId xmlns:a16="http://schemas.microsoft.com/office/drawing/2014/main" id="{00000000-0008-0000-0C00-000013400000}"/>
            </a:ext>
          </a:extLst>
        </xdr:cNvPr>
        <xdr:cNvSpPr txBox="1">
          <a:spLocks noChangeArrowheads="1"/>
        </xdr:cNvSpPr>
      </xdr:nvSpPr>
      <xdr:spPr bwMode="auto">
        <a:xfrm>
          <a:off x="9624060" y="49042320"/>
          <a:ext cx="11452860" cy="701040"/>
        </a:xfrm>
        <a:prstGeom prst="rect">
          <a:avLst/>
        </a:prstGeom>
        <a:solidFill>
          <a:srgbClr val="EAEAEA"/>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en-AU" sz="1200" b="0" i="0" u="none" strike="noStrike" baseline="0">
              <a:solidFill>
                <a:srgbClr val="000000"/>
              </a:solidFill>
              <a:latin typeface="Arial"/>
              <a:cs typeface="Arial"/>
            </a:rPr>
            <a:t>Note:</a:t>
          </a:r>
        </a:p>
        <a:p>
          <a:pPr algn="l" rtl="0">
            <a:defRPr sz="1000"/>
          </a:pPr>
          <a:r>
            <a:rPr lang="en-AU" sz="1200" b="0" i="0" u="none" strike="noStrike" baseline="0">
              <a:solidFill>
                <a:srgbClr val="000000"/>
              </a:solidFill>
              <a:latin typeface="Arial"/>
              <a:cs typeface="Arial"/>
            </a:rPr>
            <a:t>Adult Equivalents (AEs) for dry cattle are based on relativity to a standard weight of beast carried for 12 months.  One adult equivalent (AE) can be thought of as the amount of feed consumed in 12 months by a non-lactating animal of average weight 450 kg. Therefore, if average feed consumption is 2.2% of bodyweight, this would be equivalent to approx 3,650 kg dry matter per year for one AE.</a:t>
          </a:r>
        </a:p>
      </xdr:txBody>
    </xdr:sp>
    <xdr:clientData/>
  </xdr:twoCellAnchor>
  <xdr:twoCellAnchor>
    <xdr:from>
      <xdr:col>18</xdr:col>
      <xdr:colOff>441960</xdr:colOff>
      <xdr:row>147</xdr:row>
      <xdr:rowOff>167640</xdr:rowOff>
    </xdr:from>
    <xdr:to>
      <xdr:col>20</xdr:col>
      <xdr:colOff>662940</xdr:colOff>
      <xdr:row>149</xdr:row>
      <xdr:rowOff>68580</xdr:rowOff>
    </xdr:to>
    <xdr:sp macro="" textlink="">
      <xdr:nvSpPr>
        <xdr:cNvPr id="16404" name="AutoShape 20">
          <a:extLst>
            <a:ext uri="{FF2B5EF4-FFF2-40B4-BE49-F238E27FC236}">
              <a16:creationId xmlns:a16="http://schemas.microsoft.com/office/drawing/2014/main" id="{00000000-0008-0000-0C00-000014400000}"/>
            </a:ext>
          </a:extLst>
        </xdr:cNvPr>
        <xdr:cNvSpPr>
          <a:spLocks noChangeArrowheads="1"/>
        </xdr:cNvSpPr>
      </xdr:nvSpPr>
      <xdr:spPr bwMode="auto">
        <a:xfrm>
          <a:off x="33268920" y="32491680"/>
          <a:ext cx="3238500" cy="289560"/>
        </a:xfrm>
        <a:prstGeom prst="leftArrow">
          <a:avLst>
            <a:gd name="adj1" fmla="val 50000"/>
            <a:gd name="adj2" fmla="val 279605"/>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24</xdr:col>
      <xdr:colOff>144780</xdr:colOff>
      <xdr:row>148</xdr:row>
      <xdr:rowOff>68580</xdr:rowOff>
    </xdr:from>
    <xdr:to>
      <xdr:col>24</xdr:col>
      <xdr:colOff>2598420</xdr:colOff>
      <xdr:row>149</xdr:row>
      <xdr:rowOff>182880</xdr:rowOff>
    </xdr:to>
    <xdr:sp macro="" textlink="">
      <xdr:nvSpPr>
        <xdr:cNvPr id="16405" name="AutoShape 21">
          <a:extLst>
            <a:ext uri="{FF2B5EF4-FFF2-40B4-BE49-F238E27FC236}">
              <a16:creationId xmlns:a16="http://schemas.microsoft.com/office/drawing/2014/main" id="{00000000-0008-0000-0C00-000015400000}"/>
            </a:ext>
          </a:extLst>
        </xdr:cNvPr>
        <xdr:cNvSpPr>
          <a:spLocks noChangeArrowheads="1"/>
        </xdr:cNvSpPr>
      </xdr:nvSpPr>
      <xdr:spPr bwMode="auto">
        <a:xfrm flipH="1">
          <a:off x="40789860" y="32590740"/>
          <a:ext cx="2453640" cy="304800"/>
        </a:xfrm>
        <a:prstGeom prst="leftArrow">
          <a:avLst>
            <a:gd name="adj1" fmla="val 50000"/>
            <a:gd name="adj2" fmla="val 201250"/>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18</xdr:col>
      <xdr:colOff>441960</xdr:colOff>
      <xdr:row>0</xdr:row>
      <xdr:rowOff>0</xdr:rowOff>
    </xdr:from>
    <xdr:to>
      <xdr:col>20</xdr:col>
      <xdr:colOff>662940</xdr:colOff>
      <xdr:row>0</xdr:row>
      <xdr:rowOff>0</xdr:rowOff>
    </xdr:to>
    <xdr:sp macro="" textlink="">
      <xdr:nvSpPr>
        <xdr:cNvPr id="16406" name="AutoShape 22">
          <a:extLst>
            <a:ext uri="{FF2B5EF4-FFF2-40B4-BE49-F238E27FC236}">
              <a16:creationId xmlns:a16="http://schemas.microsoft.com/office/drawing/2014/main" id="{00000000-0008-0000-0C00-000016400000}"/>
            </a:ext>
          </a:extLst>
        </xdr:cNvPr>
        <xdr:cNvSpPr>
          <a:spLocks noChangeArrowheads="1"/>
        </xdr:cNvSpPr>
      </xdr:nvSpPr>
      <xdr:spPr bwMode="auto">
        <a:xfrm>
          <a:off x="33268920" y="0"/>
          <a:ext cx="3238500" cy="0"/>
        </a:xfrm>
        <a:prstGeom prst="leftArrow">
          <a:avLst>
            <a:gd name="adj1" fmla="val 50000"/>
            <a:gd name="adj2" fmla="val -2147483648"/>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24</xdr:col>
      <xdr:colOff>144780</xdr:colOff>
      <xdr:row>0</xdr:row>
      <xdr:rowOff>0</xdr:rowOff>
    </xdr:from>
    <xdr:to>
      <xdr:col>24</xdr:col>
      <xdr:colOff>2606040</xdr:colOff>
      <xdr:row>0</xdr:row>
      <xdr:rowOff>0</xdr:rowOff>
    </xdr:to>
    <xdr:sp macro="" textlink="">
      <xdr:nvSpPr>
        <xdr:cNvPr id="16407" name="AutoShape 23">
          <a:extLst>
            <a:ext uri="{FF2B5EF4-FFF2-40B4-BE49-F238E27FC236}">
              <a16:creationId xmlns:a16="http://schemas.microsoft.com/office/drawing/2014/main" id="{00000000-0008-0000-0C00-000017400000}"/>
            </a:ext>
          </a:extLst>
        </xdr:cNvPr>
        <xdr:cNvSpPr>
          <a:spLocks noChangeArrowheads="1"/>
        </xdr:cNvSpPr>
      </xdr:nvSpPr>
      <xdr:spPr bwMode="auto">
        <a:xfrm flipH="1">
          <a:off x="40789860" y="0"/>
          <a:ext cx="2461260" cy="0"/>
        </a:xfrm>
        <a:prstGeom prst="leftArrow">
          <a:avLst>
            <a:gd name="adj1" fmla="val 50000"/>
            <a:gd name="adj2" fmla="val -2147483648"/>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18</xdr:col>
      <xdr:colOff>441960</xdr:colOff>
      <xdr:row>0</xdr:row>
      <xdr:rowOff>0</xdr:rowOff>
    </xdr:from>
    <xdr:to>
      <xdr:col>20</xdr:col>
      <xdr:colOff>662940</xdr:colOff>
      <xdr:row>0</xdr:row>
      <xdr:rowOff>0</xdr:rowOff>
    </xdr:to>
    <xdr:sp macro="" textlink="">
      <xdr:nvSpPr>
        <xdr:cNvPr id="16408" name="AutoShape 24">
          <a:extLst>
            <a:ext uri="{FF2B5EF4-FFF2-40B4-BE49-F238E27FC236}">
              <a16:creationId xmlns:a16="http://schemas.microsoft.com/office/drawing/2014/main" id="{00000000-0008-0000-0C00-000018400000}"/>
            </a:ext>
          </a:extLst>
        </xdr:cNvPr>
        <xdr:cNvSpPr>
          <a:spLocks noChangeArrowheads="1"/>
        </xdr:cNvSpPr>
      </xdr:nvSpPr>
      <xdr:spPr bwMode="auto">
        <a:xfrm>
          <a:off x="33268920" y="0"/>
          <a:ext cx="3238500" cy="0"/>
        </a:xfrm>
        <a:prstGeom prst="leftArrow">
          <a:avLst>
            <a:gd name="adj1" fmla="val 50000"/>
            <a:gd name="adj2" fmla="val -2147483648"/>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24</xdr:col>
      <xdr:colOff>144780</xdr:colOff>
      <xdr:row>0</xdr:row>
      <xdr:rowOff>0</xdr:rowOff>
    </xdr:from>
    <xdr:to>
      <xdr:col>24</xdr:col>
      <xdr:colOff>2606040</xdr:colOff>
      <xdr:row>0</xdr:row>
      <xdr:rowOff>0</xdr:rowOff>
    </xdr:to>
    <xdr:sp macro="" textlink="">
      <xdr:nvSpPr>
        <xdr:cNvPr id="16409" name="AutoShape 25">
          <a:extLst>
            <a:ext uri="{FF2B5EF4-FFF2-40B4-BE49-F238E27FC236}">
              <a16:creationId xmlns:a16="http://schemas.microsoft.com/office/drawing/2014/main" id="{00000000-0008-0000-0C00-000019400000}"/>
            </a:ext>
          </a:extLst>
        </xdr:cNvPr>
        <xdr:cNvSpPr>
          <a:spLocks noChangeArrowheads="1"/>
        </xdr:cNvSpPr>
      </xdr:nvSpPr>
      <xdr:spPr bwMode="auto">
        <a:xfrm flipH="1">
          <a:off x="40789860" y="0"/>
          <a:ext cx="2461260" cy="0"/>
        </a:xfrm>
        <a:prstGeom prst="leftArrow">
          <a:avLst>
            <a:gd name="adj1" fmla="val 50000"/>
            <a:gd name="adj2" fmla="val -2147483648"/>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106680</xdr:colOff>
      <xdr:row>0</xdr:row>
      <xdr:rowOff>0</xdr:rowOff>
    </xdr:from>
    <xdr:to>
      <xdr:col>9</xdr:col>
      <xdr:colOff>1043940</xdr:colOff>
      <xdr:row>0</xdr:row>
      <xdr:rowOff>0</xdr:rowOff>
    </xdr:to>
    <xdr:sp macro="" textlink="">
      <xdr:nvSpPr>
        <xdr:cNvPr id="16410" name="TextBox 3">
          <a:extLst>
            <a:ext uri="{FF2B5EF4-FFF2-40B4-BE49-F238E27FC236}">
              <a16:creationId xmlns:a16="http://schemas.microsoft.com/office/drawing/2014/main" id="{00000000-0008-0000-0C00-00001A400000}"/>
            </a:ext>
          </a:extLst>
        </xdr:cNvPr>
        <xdr:cNvSpPr txBox="1">
          <a:spLocks noChangeArrowheads="1"/>
        </xdr:cNvSpPr>
      </xdr:nvSpPr>
      <xdr:spPr bwMode="auto">
        <a:xfrm>
          <a:off x="9707880" y="0"/>
          <a:ext cx="9654540" cy="0"/>
        </a:xfrm>
        <a:prstGeom prst="rect">
          <a:avLst/>
        </a:prstGeom>
        <a:solidFill>
          <a:srgbClr val="EEECE1"/>
        </a:solidFill>
        <a:ln w="9525">
          <a:solidFill>
            <a:srgbClr val="000000"/>
          </a:solidFill>
          <a:miter lim="800000"/>
          <a:headEnd/>
          <a:tailEnd/>
        </a:ln>
      </xdr:spPr>
      <xdr:txBody>
        <a:bodyPr vertOverflow="clip" wrap="square" lIns="27432" tIns="18288" rIns="0" bIns="0" anchor="t"/>
        <a:lstStyle/>
        <a:p>
          <a:pPr algn="l" rtl="0">
            <a:defRPr sz="1000"/>
          </a:pPr>
          <a:r>
            <a:rPr lang="en-AU" sz="1200" b="0" i="0" u="none" strike="noStrike" baseline="0">
              <a:solidFill>
                <a:srgbClr val="000000"/>
              </a:solidFill>
              <a:latin typeface="Calibri"/>
              <a:cs typeface="Calibri"/>
            </a:rPr>
            <a:t>Please ensure that the values per head entered here reflect the  average value of the stock in the paddock at calving, not the market value when selling. The values you enter should reflect something along the lines of the values you might get in a "Clearout Sale".</a:t>
          </a:r>
        </a:p>
        <a:p>
          <a:pPr algn="l" rtl="0">
            <a:defRPr sz="1000"/>
          </a:pPr>
          <a:r>
            <a:rPr lang="en-AU" sz="1200" b="0" i="0" u="none" strike="noStrike" baseline="0">
              <a:solidFill>
                <a:srgbClr val="000000"/>
              </a:solidFill>
              <a:latin typeface="Calibri"/>
              <a:cs typeface="Calibri"/>
            </a:rPr>
            <a:t>These values are not used in this analysis to calculate the opportunity cost of livestock capital. Only the interest payable on the average annual livestock purchases is counted to allow comparison with other forages.  Please change the formula in D171 if all livestock capital is to be accounted for.</a:t>
          </a:r>
        </a:p>
      </xdr:txBody>
    </xdr:sp>
    <xdr:clientData/>
  </xdr:twoCellAnchor>
  <xdr:twoCellAnchor>
    <xdr:from>
      <xdr:col>18</xdr:col>
      <xdr:colOff>441960</xdr:colOff>
      <xdr:row>0</xdr:row>
      <xdr:rowOff>0</xdr:rowOff>
    </xdr:from>
    <xdr:to>
      <xdr:col>20</xdr:col>
      <xdr:colOff>662940</xdr:colOff>
      <xdr:row>0</xdr:row>
      <xdr:rowOff>0</xdr:rowOff>
    </xdr:to>
    <xdr:sp macro="" textlink="">
      <xdr:nvSpPr>
        <xdr:cNvPr id="16411" name="AutoShape 27">
          <a:extLst>
            <a:ext uri="{FF2B5EF4-FFF2-40B4-BE49-F238E27FC236}">
              <a16:creationId xmlns:a16="http://schemas.microsoft.com/office/drawing/2014/main" id="{00000000-0008-0000-0C00-00001B400000}"/>
            </a:ext>
          </a:extLst>
        </xdr:cNvPr>
        <xdr:cNvSpPr>
          <a:spLocks noChangeArrowheads="1"/>
        </xdr:cNvSpPr>
      </xdr:nvSpPr>
      <xdr:spPr bwMode="auto">
        <a:xfrm>
          <a:off x="33268920" y="0"/>
          <a:ext cx="3238500" cy="0"/>
        </a:xfrm>
        <a:prstGeom prst="leftArrow">
          <a:avLst>
            <a:gd name="adj1" fmla="val 50000"/>
            <a:gd name="adj2" fmla="val -2147483648"/>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24</xdr:col>
      <xdr:colOff>144780</xdr:colOff>
      <xdr:row>0</xdr:row>
      <xdr:rowOff>0</xdr:rowOff>
    </xdr:from>
    <xdr:to>
      <xdr:col>24</xdr:col>
      <xdr:colOff>2606040</xdr:colOff>
      <xdr:row>0</xdr:row>
      <xdr:rowOff>0</xdr:rowOff>
    </xdr:to>
    <xdr:sp macro="" textlink="">
      <xdr:nvSpPr>
        <xdr:cNvPr id="16412" name="AutoShape 28">
          <a:extLst>
            <a:ext uri="{FF2B5EF4-FFF2-40B4-BE49-F238E27FC236}">
              <a16:creationId xmlns:a16="http://schemas.microsoft.com/office/drawing/2014/main" id="{00000000-0008-0000-0C00-00001C400000}"/>
            </a:ext>
          </a:extLst>
        </xdr:cNvPr>
        <xdr:cNvSpPr>
          <a:spLocks noChangeArrowheads="1"/>
        </xdr:cNvSpPr>
      </xdr:nvSpPr>
      <xdr:spPr bwMode="auto">
        <a:xfrm flipH="1">
          <a:off x="40789860" y="0"/>
          <a:ext cx="2461260" cy="0"/>
        </a:xfrm>
        <a:prstGeom prst="leftArrow">
          <a:avLst>
            <a:gd name="adj1" fmla="val 50000"/>
            <a:gd name="adj2" fmla="val -2147483648"/>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22860</xdr:colOff>
      <xdr:row>0</xdr:row>
      <xdr:rowOff>0</xdr:rowOff>
    </xdr:from>
    <xdr:to>
      <xdr:col>10</xdr:col>
      <xdr:colOff>762000</xdr:colOff>
      <xdr:row>0</xdr:row>
      <xdr:rowOff>0</xdr:rowOff>
    </xdr:to>
    <xdr:sp macro="" textlink="">
      <xdr:nvSpPr>
        <xdr:cNvPr id="16413" name="Text Box 29">
          <a:extLst>
            <a:ext uri="{FF2B5EF4-FFF2-40B4-BE49-F238E27FC236}">
              <a16:creationId xmlns:a16="http://schemas.microsoft.com/office/drawing/2014/main" id="{00000000-0008-0000-0C00-00001D400000}"/>
            </a:ext>
          </a:extLst>
        </xdr:cNvPr>
        <xdr:cNvSpPr txBox="1">
          <a:spLocks noChangeArrowheads="1"/>
        </xdr:cNvSpPr>
      </xdr:nvSpPr>
      <xdr:spPr bwMode="auto">
        <a:xfrm>
          <a:off x="9624060" y="0"/>
          <a:ext cx="11452860" cy="0"/>
        </a:xfrm>
        <a:prstGeom prst="rect">
          <a:avLst/>
        </a:prstGeom>
        <a:solidFill>
          <a:srgbClr val="EAEAEA"/>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en-AU" sz="1200" b="0" i="0" u="none" strike="noStrike" baseline="0">
              <a:solidFill>
                <a:srgbClr val="000000"/>
              </a:solidFill>
              <a:latin typeface="Arial"/>
              <a:cs typeface="Arial"/>
            </a:rPr>
            <a:t>Note:</a:t>
          </a:r>
        </a:p>
        <a:p>
          <a:pPr algn="l" rtl="0">
            <a:defRPr sz="1000"/>
          </a:pPr>
          <a:r>
            <a:rPr lang="en-AU" sz="1200" b="0" i="0" u="none" strike="noStrike" baseline="0">
              <a:solidFill>
                <a:srgbClr val="000000"/>
              </a:solidFill>
              <a:latin typeface="Arial"/>
              <a:cs typeface="Arial"/>
            </a:rPr>
            <a:t>Adult Equivalents (AEs) for dry cattle are based on relativity to a standard weight of beast carried for 12 months.  One adult equivalent (AE) can be thought of as the amount of feed consumed in 12 months by a non-lactating animal of average weight 450 kg. Therefore, if average feed consumption is 2.2% of bodyweight, this would be equivalent to approx 3,650 kg dry matter per year for one AE.</a:t>
          </a:r>
        </a:p>
      </xdr:txBody>
    </xdr:sp>
    <xdr:clientData/>
  </xdr:twoCellAnchor>
  <xdr:twoCellAnchor>
    <xdr:from>
      <xdr:col>18</xdr:col>
      <xdr:colOff>441960</xdr:colOff>
      <xdr:row>102</xdr:row>
      <xdr:rowOff>167640</xdr:rowOff>
    </xdr:from>
    <xdr:to>
      <xdr:col>20</xdr:col>
      <xdr:colOff>662940</xdr:colOff>
      <xdr:row>104</xdr:row>
      <xdr:rowOff>68580</xdr:rowOff>
    </xdr:to>
    <xdr:sp macro="" textlink="">
      <xdr:nvSpPr>
        <xdr:cNvPr id="16414" name="AutoShape 30">
          <a:extLst>
            <a:ext uri="{FF2B5EF4-FFF2-40B4-BE49-F238E27FC236}">
              <a16:creationId xmlns:a16="http://schemas.microsoft.com/office/drawing/2014/main" id="{00000000-0008-0000-0C00-00001E400000}"/>
            </a:ext>
          </a:extLst>
        </xdr:cNvPr>
        <xdr:cNvSpPr>
          <a:spLocks noChangeArrowheads="1"/>
        </xdr:cNvSpPr>
      </xdr:nvSpPr>
      <xdr:spPr bwMode="auto">
        <a:xfrm>
          <a:off x="33268920" y="23644860"/>
          <a:ext cx="3238500" cy="281940"/>
        </a:xfrm>
        <a:prstGeom prst="leftArrow">
          <a:avLst>
            <a:gd name="adj1" fmla="val 50000"/>
            <a:gd name="adj2" fmla="val 287162"/>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24</xdr:col>
      <xdr:colOff>144780</xdr:colOff>
      <xdr:row>103</xdr:row>
      <xdr:rowOff>68580</xdr:rowOff>
    </xdr:from>
    <xdr:to>
      <xdr:col>24</xdr:col>
      <xdr:colOff>2598420</xdr:colOff>
      <xdr:row>104</xdr:row>
      <xdr:rowOff>182880</xdr:rowOff>
    </xdr:to>
    <xdr:sp macro="" textlink="">
      <xdr:nvSpPr>
        <xdr:cNvPr id="16415" name="AutoShape 31">
          <a:extLst>
            <a:ext uri="{FF2B5EF4-FFF2-40B4-BE49-F238E27FC236}">
              <a16:creationId xmlns:a16="http://schemas.microsoft.com/office/drawing/2014/main" id="{00000000-0008-0000-0C00-00001F400000}"/>
            </a:ext>
          </a:extLst>
        </xdr:cNvPr>
        <xdr:cNvSpPr>
          <a:spLocks noChangeArrowheads="1"/>
        </xdr:cNvSpPr>
      </xdr:nvSpPr>
      <xdr:spPr bwMode="auto">
        <a:xfrm flipH="1">
          <a:off x="40789860" y="23736300"/>
          <a:ext cx="2453640" cy="304800"/>
        </a:xfrm>
        <a:prstGeom prst="leftArrow">
          <a:avLst>
            <a:gd name="adj1" fmla="val 50000"/>
            <a:gd name="adj2" fmla="val 201250"/>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22860</xdr:colOff>
      <xdr:row>176</xdr:row>
      <xdr:rowOff>160020</xdr:rowOff>
    </xdr:from>
    <xdr:to>
      <xdr:col>11</xdr:col>
      <xdr:colOff>762000</xdr:colOff>
      <xdr:row>180</xdr:row>
      <xdr:rowOff>99060</xdr:rowOff>
    </xdr:to>
    <xdr:sp macro="" textlink="">
      <xdr:nvSpPr>
        <xdr:cNvPr id="16416" name="Text Box 32">
          <a:extLst>
            <a:ext uri="{FF2B5EF4-FFF2-40B4-BE49-F238E27FC236}">
              <a16:creationId xmlns:a16="http://schemas.microsoft.com/office/drawing/2014/main" id="{00000000-0008-0000-0C00-000020400000}"/>
            </a:ext>
          </a:extLst>
        </xdr:cNvPr>
        <xdr:cNvSpPr txBox="1">
          <a:spLocks noChangeArrowheads="1"/>
        </xdr:cNvSpPr>
      </xdr:nvSpPr>
      <xdr:spPr bwMode="auto">
        <a:xfrm>
          <a:off x="12138660" y="38183820"/>
          <a:ext cx="10767060" cy="701040"/>
        </a:xfrm>
        <a:prstGeom prst="rect">
          <a:avLst/>
        </a:prstGeom>
        <a:solidFill>
          <a:srgbClr val="EAEAEA"/>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en-AU" sz="1200" b="0" i="0" u="none" strike="noStrike" baseline="0">
              <a:solidFill>
                <a:srgbClr val="000000"/>
              </a:solidFill>
              <a:latin typeface="Arial"/>
              <a:cs typeface="Arial"/>
            </a:rPr>
            <a:t>Note:</a:t>
          </a:r>
        </a:p>
        <a:p>
          <a:pPr algn="l" rtl="0">
            <a:defRPr sz="1000"/>
          </a:pPr>
          <a:r>
            <a:rPr lang="en-AU" sz="1200" b="0" i="0" u="none" strike="noStrike" baseline="0">
              <a:solidFill>
                <a:srgbClr val="000000"/>
              </a:solidFill>
              <a:latin typeface="Arial"/>
              <a:cs typeface="Arial"/>
            </a:rPr>
            <a:t>Adult Equivalents (AEs) for dry cattle are based on relativity to a standard weight of beast carried for 12 months.  One adult equivalent (AE) can be thought of as the amount of feed consumed in 12 months by a non-lactating animal of average weight 450 kg. Therefore, if average feed consumption is 2.2% of bodyweight, this would be equivalent to approx 3,650 kg dry matter per year for one AE.</a:t>
          </a:r>
        </a:p>
      </xdr:txBody>
    </xdr:sp>
    <xdr:clientData/>
  </xdr:twoCellAnchor>
  <xdr:twoCellAnchor>
    <xdr:from>
      <xdr:col>18</xdr:col>
      <xdr:colOff>441960</xdr:colOff>
      <xdr:row>0</xdr:row>
      <xdr:rowOff>0</xdr:rowOff>
    </xdr:from>
    <xdr:to>
      <xdr:col>20</xdr:col>
      <xdr:colOff>662940</xdr:colOff>
      <xdr:row>0</xdr:row>
      <xdr:rowOff>0</xdr:rowOff>
    </xdr:to>
    <xdr:sp macro="" textlink="">
      <xdr:nvSpPr>
        <xdr:cNvPr id="16417" name="AutoShape 33">
          <a:extLst>
            <a:ext uri="{FF2B5EF4-FFF2-40B4-BE49-F238E27FC236}">
              <a16:creationId xmlns:a16="http://schemas.microsoft.com/office/drawing/2014/main" id="{00000000-0008-0000-0C00-000021400000}"/>
            </a:ext>
          </a:extLst>
        </xdr:cNvPr>
        <xdr:cNvSpPr>
          <a:spLocks noChangeArrowheads="1"/>
        </xdr:cNvSpPr>
      </xdr:nvSpPr>
      <xdr:spPr bwMode="auto">
        <a:xfrm>
          <a:off x="33268920" y="0"/>
          <a:ext cx="3238500" cy="0"/>
        </a:xfrm>
        <a:prstGeom prst="leftArrow">
          <a:avLst>
            <a:gd name="adj1" fmla="val 50000"/>
            <a:gd name="adj2" fmla="val -2147483648"/>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24</xdr:col>
      <xdr:colOff>144780</xdr:colOff>
      <xdr:row>0</xdr:row>
      <xdr:rowOff>0</xdr:rowOff>
    </xdr:from>
    <xdr:to>
      <xdr:col>24</xdr:col>
      <xdr:colOff>2606040</xdr:colOff>
      <xdr:row>0</xdr:row>
      <xdr:rowOff>0</xdr:rowOff>
    </xdr:to>
    <xdr:sp macro="" textlink="">
      <xdr:nvSpPr>
        <xdr:cNvPr id="16418" name="AutoShape 34">
          <a:extLst>
            <a:ext uri="{FF2B5EF4-FFF2-40B4-BE49-F238E27FC236}">
              <a16:creationId xmlns:a16="http://schemas.microsoft.com/office/drawing/2014/main" id="{00000000-0008-0000-0C00-000022400000}"/>
            </a:ext>
          </a:extLst>
        </xdr:cNvPr>
        <xdr:cNvSpPr>
          <a:spLocks noChangeArrowheads="1"/>
        </xdr:cNvSpPr>
      </xdr:nvSpPr>
      <xdr:spPr bwMode="auto">
        <a:xfrm flipH="1">
          <a:off x="40789860" y="0"/>
          <a:ext cx="2461260" cy="0"/>
        </a:xfrm>
        <a:prstGeom prst="leftArrow">
          <a:avLst>
            <a:gd name="adj1" fmla="val 50000"/>
            <a:gd name="adj2" fmla="val -2147483648"/>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18</xdr:col>
      <xdr:colOff>441960</xdr:colOff>
      <xdr:row>0</xdr:row>
      <xdr:rowOff>0</xdr:rowOff>
    </xdr:from>
    <xdr:to>
      <xdr:col>20</xdr:col>
      <xdr:colOff>662940</xdr:colOff>
      <xdr:row>0</xdr:row>
      <xdr:rowOff>0</xdr:rowOff>
    </xdr:to>
    <xdr:sp macro="" textlink="">
      <xdr:nvSpPr>
        <xdr:cNvPr id="16419" name="AutoShape 35">
          <a:extLst>
            <a:ext uri="{FF2B5EF4-FFF2-40B4-BE49-F238E27FC236}">
              <a16:creationId xmlns:a16="http://schemas.microsoft.com/office/drawing/2014/main" id="{00000000-0008-0000-0C00-000023400000}"/>
            </a:ext>
          </a:extLst>
        </xdr:cNvPr>
        <xdr:cNvSpPr>
          <a:spLocks noChangeArrowheads="1"/>
        </xdr:cNvSpPr>
      </xdr:nvSpPr>
      <xdr:spPr bwMode="auto">
        <a:xfrm>
          <a:off x="33268920" y="0"/>
          <a:ext cx="3238500" cy="0"/>
        </a:xfrm>
        <a:prstGeom prst="leftArrow">
          <a:avLst>
            <a:gd name="adj1" fmla="val 50000"/>
            <a:gd name="adj2" fmla="val -2147483648"/>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24</xdr:col>
      <xdr:colOff>144780</xdr:colOff>
      <xdr:row>0</xdr:row>
      <xdr:rowOff>0</xdr:rowOff>
    </xdr:from>
    <xdr:to>
      <xdr:col>24</xdr:col>
      <xdr:colOff>2606040</xdr:colOff>
      <xdr:row>0</xdr:row>
      <xdr:rowOff>0</xdr:rowOff>
    </xdr:to>
    <xdr:sp macro="" textlink="">
      <xdr:nvSpPr>
        <xdr:cNvPr id="16420" name="AutoShape 36">
          <a:extLst>
            <a:ext uri="{FF2B5EF4-FFF2-40B4-BE49-F238E27FC236}">
              <a16:creationId xmlns:a16="http://schemas.microsoft.com/office/drawing/2014/main" id="{00000000-0008-0000-0C00-000024400000}"/>
            </a:ext>
          </a:extLst>
        </xdr:cNvPr>
        <xdr:cNvSpPr>
          <a:spLocks noChangeArrowheads="1"/>
        </xdr:cNvSpPr>
      </xdr:nvSpPr>
      <xdr:spPr bwMode="auto">
        <a:xfrm flipH="1">
          <a:off x="40789860" y="0"/>
          <a:ext cx="2461260" cy="0"/>
        </a:xfrm>
        <a:prstGeom prst="leftArrow">
          <a:avLst>
            <a:gd name="adj1" fmla="val 50000"/>
            <a:gd name="adj2" fmla="val -2147483648"/>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106680</xdr:colOff>
      <xdr:row>0</xdr:row>
      <xdr:rowOff>0</xdr:rowOff>
    </xdr:from>
    <xdr:to>
      <xdr:col>9</xdr:col>
      <xdr:colOff>1043940</xdr:colOff>
      <xdr:row>0</xdr:row>
      <xdr:rowOff>0</xdr:rowOff>
    </xdr:to>
    <xdr:sp macro="" textlink="">
      <xdr:nvSpPr>
        <xdr:cNvPr id="16421" name="TextBox 3">
          <a:extLst>
            <a:ext uri="{FF2B5EF4-FFF2-40B4-BE49-F238E27FC236}">
              <a16:creationId xmlns:a16="http://schemas.microsoft.com/office/drawing/2014/main" id="{00000000-0008-0000-0C00-000025400000}"/>
            </a:ext>
          </a:extLst>
        </xdr:cNvPr>
        <xdr:cNvSpPr txBox="1">
          <a:spLocks noChangeArrowheads="1"/>
        </xdr:cNvSpPr>
      </xdr:nvSpPr>
      <xdr:spPr bwMode="auto">
        <a:xfrm>
          <a:off x="9707880" y="0"/>
          <a:ext cx="9654540" cy="0"/>
        </a:xfrm>
        <a:prstGeom prst="rect">
          <a:avLst/>
        </a:prstGeom>
        <a:solidFill>
          <a:srgbClr val="EEECE1"/>
        </a:solidFill>
        <a:ln w="9525">
          <a:solidFill>
            <a:srgbClr val="000000"/>
          </a:solidFill>
          <a:miter lim="800000"/>
          <a:headEnd/>
          <a:tailEnd/>
        </a:ln>
      </xdr:spPr>
      <xdr:txBody>
        <a:bodyPr vertOverflow="clip" wrap="square" lIns="27432" tIns="18288" rIns="0" bIns="0" anchor="t"/>
        <a:lstStyle/>
        <a:p>
          <a:pPr algn="l" rtl="0">
            <a:defRPr sz="1000"/>
          </a:pPr>
          <a:r>
            <a:rPr lang="en-AU" sz="1200" b="0" i="0" u="none" strike="noStrike" baseline="0">
              <a:solidFill>
                <a:srgbClr val="000000"/>
              </a:solidFill>
              <a:latin typeface="Calibri"/>
              <a:cs typeface="Calibri"/>
            </a:rPr>
            <a:t>Please ensure that the values per head entered here reflect the  average value of the stock in the paddock at calving, not the market value when selling. The values you enter should reflect something along the lines of the values you might get in a "Clearout Sale".</a:t>
          </a:r>
        </a:p>
        <a:p>
          <a:pPr algn="l" rtl="0">
            <a:defRPr sz="1000"/>
          </a:pPr>
          <a:r>
            <a:rPr lang="en-AU" sz="1200" b="0" i="0" u="none" strike="noStrike" baseline="0">
              <a:solidFill>
                <a:srgbClr val="000000"/>
              </a:solidFill>
              <a:latin typeface="Calibri"/>
              <a:cs typeface="Calibri"/>
            </a:rPr>
            <a:t>These values are not used in this analysis to calculate the opportunity cost of livestock capital. Only the interest payable on the average annual livestock purchases is counted to allow comparison with other forages.  Please change the formula in D171 if all livestock capital is to be accounted for.</a:t>
          </a:r>
        </a:p>
      </xdr:txBody>
    </xdr:sp>
    <xdr:clientData/>
  </xdr:twoCellAnchor>
  <xdr:twoCellAnchor>
    <xdr:from>
      <xdr:col>18</xdr:col>
      <xdr:colOff>441960</xdr:colOff>
      <xdr:row>0</xdr:row>
      <xdr:rowOff>0</xdr:rowOff>
    </xdr:from>
    <xdr:to>
      <xdr:col>20</xdr:col>
      <xdr:colOff>662940</xdr:colOff>
      <xdr:row>0</xdr:row>
      <xdr:rowOff>0</xdr:rowOff>
    </xdr:to>
    <xdr:sp macro="" textlink="">
      <xdr:nvSpPr>
        <xdr:cNvPr id="16422" name="AutoShape 38">
          <a:extLst>
            <a:ext uri="{FF2B5EF4-FFF2-40B4-BE49-F238E27FC236}">
              <a16:creationId xmlns:a16="http://schemas.microsoft.com/office/drawing/2014/main" id="{00000000-0008-0000-0C00-000026400000}"/>
            </a:ext>
          </a:extLst>
        </xdr:cNvPr>
        <xdr:cNvSpPr>
          <a:spLocks noChangeArrowheads="1"/>
        </xdr:cNvSpPr>
      </xdr:nvSpPr>
      <xdr:spPr bwMode="auto">
        <a:xfrm>
          <a:off x="33268920" y="0"/>
          <a:ext cx="3238500" cy="0"/>
        </a:xfrm>
        <a:prstGeom prst="leftArrow">
          <a:avLst>
            <a:gd name="adj1" fmla="val 50000"/>
            <a:gd name="adj2" fmla="val -2147483648"/>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24</xdr:col>
      <xdr:colOff>144780</xdr:colOff>
      <xdr:row>0</xdr:row>
      <xdr:rowOff>0</xdr:rowOff>
    </xdr:from>
    <xdr:to>
      <xdr:col>24</xdr:col>
      <xdr:colOff>2606040</xdr:colOff>
      <xdr:row>0</xdr:row>
      <xdr:rowOff>0</xdr:rowOff>
    </xdr:to>
    <xdr:sp macro="" textlink="">
      <xdr:nvSpPr>
        <xdr:cNvPr id="16423" name="AutoShape 39">
          <a:extLst>
            <a:ext uri="{FF2B5EF4-FFF2-40B4-BE49-F238E27FC236}">
              <a16:creationId xmlns:a16="http://schemas.microsoft.com/office/drawing/2014/main" id="{00000000-0008-0000-0C00-000027400000}"/>
            </a:ext>
          </a:extLst>
        </xdr:cNvPr>
        <xdr:cNvSpPr>
          <a:spLocks noChangeArrowheads="1"/>
        </xdr:cNvSpPr>
      </xdr:nvSpPr>
      <xdr:spPr bwMode="auto">
        <a:xfrm flipH="1">
          <a:off x="40789860" y="0"/>
          <a:ext cx="2461260" cy="0"/>
        </a:xfrm>
        <a:prstGeom prst="leftArrow">
          <a:avLst>
            <a:gd name="adj1" fmla="val 50000"/>
            <a:gd name="adj2" fmla="val -2147483648"/>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22860</xdr:colOff>
      <xdr:row>0</xdr:row>
      <xdr:rowOff>0</xdr:rowOff>
    </xdr:from>
    <xdr:to>
      <xdr:col>10</xdr:col>
      <xdr:colOff>762000</xdr:colOff>
      <xdr:row>0</xdr:row>
      <xdr:rowOff>0</xdr:rowOff>
    </xdr:to>
    <xdr:sp macro="" textlink="">
      <xdr:nvSpPr>
        <xdr:cNvPr id="16424" name="Text Box 40">
          <a:extLst>
            <a:ext uri="{FF2B5EF4-FFF2-40B4-BE49-F238E27FC236}">
              <a16:creationId xmlns:a16="http://schemas.microsoft.com/office/drawing/2014/main" id="{00000000-0008-0000-0C00-000028400000}"/>
            </a:ext>
          </a:extLst>
        </xdr:cNvPr>
        <xdr:cNvSpPr txBox="1">
          <a:spLocks noChangeArrowheads="1"/>
        </xdr:cNvSpPr>
      </xdr:nvSpPr>
      <xdr:spPr bwMode="auto">
        <a:xfrm>
          <a:off x="9624060" y="0"/>
          <a:ext cx="11452860" cy="0"/>
        </a:xfrm>
        <a:prstGeom prst="rect">
          <a:avLst/>
        </a:prstGeom>
        <a:solidFill>
          <a:srgbClr val="EAEAEA"/>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en-AU" sz="1200" b="0" i="0" u="none" strike="noStrike" baseline="0">
              <a:solidFill>
                <a:srgbClr val="000000"/>
              </a:solidFill>
              <a:latin typeface="Arial"/>
              <a:cs typeface="Arial"/>
            </a:rPr>
            <a:t>Note:</a:t>
          </a:r>
        </a:p>
        <a:p>
          <a:pPr algn="l" rtl="0">
            <a:defRPr sz="1000"/>
          </a:pPr>
          <a:r>
            <a:rPr lang="en-AU" sz="1200" b="0" i="0" u="none" strike="noStrike" baseline="0">
              <a:solidFill>
                <a:srgbClr val="000000"/>
              </a:solidFill>
              <a:latin typeface="Arial"/>
              <a:cs typeface="Arial"/>
            </a:rPr>
            <a:t>Adult Equivalents (AEs) for dry cattle are based on relativity to a standard weight of beast carried for 12 months.  One adult equivalent (AE) can be thought of as the amount of feed consumed in 12 months by a non-lactating animal of average weight 450 kg. Therefore, if average feed consumption is 2.2% of bodyweight, this would be equivalent to approx 3,650 kg dry matter per year for one AE.</a:t>
          </a:r>
        </a:p>
      </xdr:txBody>
    </xdr:sp>
    <xdr:clientData/>
  </xdr:twoCellAnchor>
  <xdr:twoCellAnchor>
    <xdr:from>
      <xdr:col>18</xdr:col>
      <xdr:colOff>441960</xdr:colOff>
      <xdr:row>102</xdr:row>
      <xdr:rowOff>167640</xdr:rowOff>
    </xdr:from>
    <xdr:to>
      <xdr:col>20</xdr:col>
      <xdr:colOff>662940</xdr:colOff>
      <xdr:row>104</xdr:row>
      <xdr:rowOff>68580</xdr:rowOff>
    </xdr:to>
    <xdr:sp macro="" textlink="">
      <xdr:nvSpPr>
        <xdr:cNvPr id="16425" name="AutoShape 41">
          <a:extLst>
            <a:ext uri="{FF2B5EF4-FFF2-40B4-BE49-F238E27FC236}">
              <a16:creationId xmlns:a16="http://schemas.microsoft.com/office/drawing/2014/main" id="{00000000-0008-0000-0C00-000029400000}"/>
            </a:ext>
          </a:extLst>
        </xdr:cNvPr>
        <xdr:cNvSpPr>
          <a:spLocks noChangeArrowheads="1"/>
        </xdr:cNvSpPr>
      </xdr:nvSpPr>
      <xdr:spPr bwMode="auto">
        <a:xfrm>
          <a:off x="33268920" y="23644860"/>
          <a:ext cx="3238500" cy="281940"/>
        </a:xfrm>
        <a:prstGeom prst="leftArrow">
          <a:avLst>
            <a:gd name="adj1" fmla="val 50000"/>
            <a:gd name="adj2" fmla="val 287162"/>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24</xdr:col>
      <xdr:colOff>144780</xdr:colOff>
      <xdr:row>103</xdr:row>
      <xdr:rowOff>68580</xdr:rowOff>
    </xdr:from>
    <xdr:to>
      <xdr:col>24</xdr:col>
      <xdr:colOff>2598420</xdr:colOff>
      <xdr:row>104</xdr:row>
      <xdr:rowOff>182880</xdr:rowOff>
    </xdr:to>
    <xdr:sp macro="" textlink="">
      <xdr:nvSpPr>
        <xdr:cNvPr id="16426" name="AutoShape 42">
          <a:extLst>
            <a:ext uri="{FF2B5EF4-FFF2-40B4-BE49-F238E27FC236}">
              <a16:creationId xmlns:a16="http://schemas.microsoft.com/office/drawing/2014/main" id="{00000000-0008-0000-0C00-00002A400000}"/>
            </a:ext>
          </a:extLst>
        </xdr:cNvPr>
        <xdr:cNvSpPr>
          <a:spLocks noChangeArrowheads="1"/>
        </xdr:cNvSpPr>
      </xdr:nvSpPr>
      <xdr:spPr bwMode="auto">
        <a:xfrm flipH="1">
          <a:off x="40789860" y="23736300"/>
          <a:ext cx="2453640" cy="304800"/>
        </a:xfrm>
        <a:prstGeom prst="leftArrow">
          <a:avLst>
            <a:gd name="adj1" fmla="val 50000"/>
            <a:gd name="adj2" fmla="val 201250"/>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22860</xdr:colOff>
      <xdr:row>176</xdr:row>
      <xdr:rowOff>160020</xdr:rowOff>
    </xdr:from>
    <xdr:to>
      <xdr:col>11</xdr:col>
      <xdr:colOff>762000</xdr:colOff>
      <xdr:row>180</xdr:row>
      <xdr:rowOff>99060</xdr:rowOff>
    </xdr:to>
    <xdr:sp macro="" textlink="">
      <xdr:nvSpPr>
        <xdr:cNvPr id="16427" name="Text Box 43">
          <a:extLst>
            <a:ext uri="{FF2B5EF4-FFF2-40B4-BE49-F238E27FC236}">
              <a16:creationId xmlns:a16="http://schemas.microsoft.com/office/drawing/2014/main" id="{00000000-0008-0000-0C00-00002B400000}"/>
            </a:ext>
          </a:extLst>
        </xdr:cNvPr>
        <xdr:cNvSpPr txBox="1">
          <a:spLocks noChangeArrowheads="1"/>
        </xdr:cNvSpPr>
      </xdr:nvSpPr>
      <xdr:spPr bwMode="auto">
        <a:xfrm>
          <a:off x="12138660" y="38183820"/>
          <a:ext cx="10767060" cy="701040"/>
        </a:xfrm>
        <a:prstGeom prst="rect">
          <a:avLst/>
        </a:prstGeom>
        <a:solidFill>
          <a:srgbClr val="EAEAEA"/>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en-AU" sz="1200" b="0" i="0" u="none" strike="noStrike" baseline="0">
              <a:solidFill>
                <a:srgbClr val="000000"/>
              </a:solidFill>
              <a:latin typeface="Arial"/>
              <a:cs typeface="Arial"/>
            </a:rPr>
            <a:t>Note:</a:t>
          </a:r>
        </a:p>
        <a:p>
          <a:pPr algn="l" rtl="0">
            <a:defRPr sz="1000"/>
          </a:pPr>
          <a:r>
            <a:rPr lang="en-AU" sz="1200" b="0" i="0" u="none" strike="noStrike" baseline="0">
              <a:solidFill>
                <a:srgbClr val="000000"/>
              </a:solidFill>
              <a:latin typeface="Arial"/>
              <a:cs typeface="Arial"/>
            </a:rPr>
            <a:t>Adult Equivalents (AEs) for dry cattle are based on relativity to a standard weight of beast carried for 12 months.  One adult equivalent (AE) can be thought of as the amount of feed consumed in 12 months by a non-lactating animal of average weight 450 kg. Therefore, if average feed consumption is 2.2% of bodyweight, this would be equivalent to approx 3,650 kg dry matter per year for one AE.</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18</xdr:col>
      <xdr:colOff>441960</xdr:colOff>
      <xdr:row>0</xdr:row>
      <xdr:rowOff>0</xdr:rowOff>
    </xdr:from>
    <xdr:to>
      <xdr:col>20</xdr:col>
      <xdr:colOff>662940</xdr:colOff>
      <xdr:row>0</xdr:row>
      <xdr:rowOff>0</xdr:rowOff>
    </xdr:to>
    <xdr:sp macro="" textlink="">
      <xdr:nvSpPr>
        <xdr:cNvPr id="17411" name="AutoShape 3">
          <a:extLst>
            <a:ext uri="{FF2B5EF4-FFF2-40B4-BE49-F238E27FC236}">
              <a16:creationId xmlns:a16="http://schemas.microsoft.com/office/drawing/2014/main" id="{00000000-0008-0000-0D00-000003440000}"/>
            </a:ext>
          </a:extLst>
        </xdr:cNvPr>
        <xdr:cNvSpPr>
          <a:spLocks noChangeArrowheads="1"/>
        </xdr:cNvSpPr>
      </xdr:nvSpPr>
      <xdr:spPr bwMode="auto">
        <a:xfrm>
          <a:off x="33268920" y="0"/>
          <a:ext cx="3238500" cy="0"/>
        </a:xfrm>
        <a:prstGeom prst="leftArrow">
          <a:avLst>
            <a:gd name="adj1" fmla="val 50000"/>
            <a:gd name="adj2" fmla="val -2147483648"/>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24</xdr:col>
      <xdr:colOff>144780</xdr:colOff>
      <xdr:row>0</xdr:row>
      <xdr:rowOff>0</xdr:rowOff>
    </xdr:from>
    <xdr:to>
      <xdr:col>24</xdr:col>
      <xdr:colOff>2606040</xdr:colOff>
      <xdr:row>0</xdr:row>
      <xdr:rowOff>0</xdr:rowOff>
    </xdr:to>
    <xdr:sp macro="" textlink="">
      <xdr:nvSpPr>
        <xdr:cNvPr id="17412" name="AutoShape 4">
          <a:extLst>
            <a:ext uri="{FF2B5EF4-FFF2-40B4-BE49-F238E27FC236}">
              <a16:creationId xmlns:a16="http://schemas.microsoft.com/office/drawing/2014/main" id="{00000000-0008-0000-0D00-000004440000}"/>
            </a:ext>
          </a:extLst>
        </xdr:cNvPr>
        <xdr:cNvSpPr>
          <a:spLocks noChangeArrowheads="1"/>
        </xdr:cNvSpPr>
      </xdr:nvSpPr>
      <xdr:spPr bwMode="auto">
        <a:xfrm flipH="1">
          <a:off x="40789860" y="0"/>
          <a:ext cx="2461260" cy="0"/>
        </a:xfrm>
        <a:prstGeom prst="leftArrow">
          <a:avLst>
            <a:gd name="adj1" fmla="val 50000"/>
            <a:gd name="adj2" fmla="val -2147483648"/>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18</xdr:col>
      <xdr:colOff>441960</xdr:colOff>
      <xdr:row>0</xdr:row>
      <xdr:rowOff>0</xdr:rowOff>
    </xdr:from>
    <xdr:to>
      <xdr:col>20</xdr:col>
      <xdr:colOff>662940</xdr:colOff>
      <xdr:row>0</xdr:row>
      <xdr:rowOff>0</xdr:rowOff>
    </xdr:to>
    <xdr:sp macro="" textlink="">
      <xdr:nvSpPr>
        <xdr:cNvPr id="17414" name="AutoShape 6">
          <a:extLst>
            <a:ext uri="{FF2B5EF4-FFF2-40B4-BE49-F238E27FC236}">
              <a16:creationId xmlns:a16="http://schemas.microsoft.com/office/drawing/2014/main" id="{00000000-0008-0000-0D00-000006440000}"/>
            </a:ext>
          </a:extLst>
        </xdr:cNvPr>
        <xdr:cNvSpPr>
          <a:spLocks noChangeArrowheads="1"/>
        </xdr:cNvSpPr>
      </xdr:nvSpPr>
      <xdr:spPr bwMode="auto">
        <a:xfrm>
          <a:off x="33268920" y="0"/>
          <a:ext cx="3238500" cy="0"/>
        </a:xfrm>
        <a:prstGeom prst="leftArrow">
          <a:avLst>
            <a:gd name="adj1" fmla="val 50000"/>
            <a:gd name="adj2" fmla="val -2147483648"/>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24</xdr:col>
      <xdr:colOff>144780</xdr:colOff>
      <xdr:row>0</xdr:row>
      <xdr:rowOff>0</xdr:rowOff>
    </xdr:from>
    <xdr:to>
      <xdr:col>24</xdr:col>
      <xdr:colOff>2606040</xdr:colOff>
      <xdr:row>0</xdr:row>
      <xdr:rowOff>0</xdr:rowOff>
    </xdr:to>
    <xdr:sp macro="" textlink="">
      <xdr:nvSpPr>
        <xdr:cNvPr id="17415" name="AutoShape 7">
          <a:extLst>
            <a:ext uri="{FF2B5EF4-FFF2-40B4-BE49-F238E27FC236}">
              <a16:creationId xmlns:a16="http://schemas.microsoft.com/office/drawing/2014/main" id="{00000000-0008-0000-0D00-000007440000}"/>
            </a:ext>
          </a:extLst>
        </xdr:cNvPr>
        <xdr:cNvSpPr>
          <a:spLocks noChangeArrowheads="1"/>
        </xdr:cNvSpPr>
      </xdr:nvSpPr>
      <xdr:spPr bwMode="auto">
        <a:xfrm flipH="1">
          <a:off x="40789860" y="0"/>
          <a:ext cx="2461260" cy="0"/>
        </a:xfrm>
        <a:prstGeom prst="leftArrow">
          <a:avLst>
            <a:gd name="adj1" fmla="val 50000"/>
            <a:gd name="adj2" fmla="val -2147483648"/>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106680</xdr:colOff>
      <xdr:row>0</xdr:row>
      <xdr:rowOff>0</xdr:rowOff>
    </xdr:from>
    <xdr:to>
      <xdr:col>9</xdr:col>
      <xdr:colOff>1043940</xdr:colOff>
      <xdr:row>0</xdr:row>
      <xdr:rowOff>0</xdr:rowOff>
    </xdr:to>
    <xdr:sp macro="" textlink="">
      <xdr:nvSpPr>
        <xdr:cNvPr id="17417" name="TextBox 3">
          <a:extLst>
            <a:ext uri="{FF2B5EF4-FFF2-40B4-BE49-F238E27FC236}">
              <a16:creationId xmlns:a16="http://schemas.microsoft.com/office/drawing/2014/main" id="{00000000-0008-0000-0D00-000009440000}"/>
            </a:ext>
          </a:extLst>
        </xdr:cNvPr>
        <xdr:cNvSpPr txBox="1">
          <a:spLocks noChangeArrowheads="1"/>
        </xdr:cNvSpPr>
      </xdr:nvSpPr>
      <xdr:spPr bwMode="auto">
        <a:xfrm>
          <a:off x="9707880" y="0"/>
          <a:ext cx="9654540" cy="0"/>
        </a:xfrm>
        <a:prstGeom prst="rect">
          <a:avLst/>
        </a:prstGeom>
        <a:solidFill>
          <a:srgbClr val="EEECE1"/>
        </a:solidFill>
        <a:ln w="9525">
          <a:solidFill>
            <a:srgbClr val="000000"/>
          </a:solidFill>
          <a:miter lim="800000"/>
          <a:headEnd/>
          <a:tailEnd/>
        </a:ln>
      </xdr:spPr>
      <xdr:txBody>
        <a:bodyPr vertOverflow="clip" wrap="square" lIns="27432" tIns="18288" rIns="0" bIns="0" anchor="t"/>
        <a:lstStyle/>
        <a:p>
          <a:pPr algn="l" rtl="0">
            <a:defRPr sz="1000"/>
          </a:pPr>
          <a:r>
            <a:rPr lang="en-AU" sz="1200" b="0" i="0" u="none" strike="noStrike" baseline="0">
              <a:solidFill>
                <a:srgbClr val="000000"/>
              </a:solidFill>
              <a:latin typeface="Calibri"/>
              <a:cs typeface="Calibri"/>
            </a:rPr>
            <a:t>Please ensure that the values per head entered here reflect the  average value of the stock in the paddock at calving, not the market value when selling. The values you enter should reflect something along the lines of the values you might get in a "Clearout Sale".</a:t>
          </a:r>
        </a:p>
        <a:p>
          <a:pPr algn="l" rtl="0">
            <a:defRPr sz="1000"/>
          </a:pPr>
          <a:r>
            <a:rPr lang="en-AU" sz="1200" b="0" i="0" u="none" strike="noStrike" baseline="0">
              <a:solidFill>
                <a:srgbClr val="000000"/>
              </a:solidFill>
              <a:latin typeface="Calibri"/>
              <a:cs typeface="Calibri"/>
            </a:rPr>
            <a:t>These values are not used in this analysis to calculate the opportunity cost of livestock capital. Only the interest payable on the average annual livestock purchases is counted to allow comparison with other forages.  Please change the formula in D171 if all livestock capital is to be accounted for.</a:t>
          </a:r>
        </a:p>
      </xdr:txBody>
    </xdr:sp>
    <xdr:clientData/>
  </xdr:twoCellAnchor>
  <xdr:twoCellAnchor>
    <xdr:from>
      <xdr:col>18</xdr:col>
      <xdr:colOff>441960</xdr:colOff>
      <xdr:row>0</xdr:row>
      <xdr:rowOff>0</xdr:rowOff>
    </xdr:from>
    <xdr:to>
      <xdr:col>20</xdr:col>
      <xdr:colOff>662940</xdr:colOff>
      <xdr:row>0</xdr:row>
      <xdr:rowOff>0</xdr:rowOff>
    </xdr:to>
    <xdr:sp macro="" textlink="">
      <xdr:nvSpPr>
        <xdr:cNvPr id="17418" name="AutoShape 10">
          <a:extLst>
            <a:ext uri="{FF2B5EF4-FFF2-40B4-BE49-F238E27FC236}">
              <a16:creationId xmlns:a16="http://schemas.microsoft.com/office/drawing/2014/main" id="{00000000-0008-0000-0D00-00000A440000}"/>
            </a:ext>
          </a:extLst>
        </xdr:cNvPr>
        <xdr:cNvSpPr>
          <a:spLocks noChangeArrowheads="1"/>
        </xdr:cNvSpPr>
      </xdr:nvSpPr>
      <xdr:spPr bwMode="auto">
        <a:xfrm>
          <a:off x="33268920" y="0"/>
          <a:ext cx="3238500" cy="0"/>
        </a:xfrm>
        <a:prstGeom prst="leftArrow">
          <a:avLst>
            <a:gd name="adj1" fmla="val 50000"/>
            <a:gd name="adj2" fmla="val -2147483648"/>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24</xdr:col>
      <xdr:colOff>144780</xdr:colOff>
      <xdr:row>0</xdr:row>
      <xdr:rowOff>0</xdr:rowOff>
    </xdr:from>
    <xdr:to>
      <xdr:col>24</xdr:col>
      <xdr:colOff>2606040</xdr:colOff>
      <xdr:row>0</xdr:row>
      <xdr:rowOff>0</xdr:rowOff>
    </xdr:to>
    <xdr:sp macro="" textlink="">
      <xdr:nvSpPr>
        <xdr:cNvPr id="17419" name="AutoShape 11">
          <a:extLst>
            <a:ext uri="{FF2B5EF4-FFF2-40B4-BE49-F238E27FC236}">
              <a16:creationId xmlns:a16="http://schemas.microsoft.com/office/drawing/2014/main" id="{00000000-0008-0000-0D00-00000B440000}"/>
            </a:ext>
          </a:extLst>
        </xdr:cNvPr>
        <xdr:cNvSpPr>
          <a:spLocks noChangeArrowheads="1"/>
        </xdr:cNvSpPr>
      </xdr:nvSpPr>
      <xdr:spPr bwMode="auto">
        <a:xfrm flipH="1">
          <a:off x="40789860" y="0"/>
          <a:ext cx="2461260" cy="0"/>
        </a:xfrm>
        <a:prstGeom prst="leftArrow">
          <a:avLst>
            <a:gd name="adj1" fmla="val 50000"/>
            <a:gd name="adj2" fmla="val -2147483648"/>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22860</xdr:colOff>
      <xdr:row>0</xdr:row>
      <xdr:rowOff>0</xdr:rowOff>
    </xdr:from>
    <xdr:to>
      <xdr:col>10</xdr:col>
      <xdr:colOff>762000</xdr:colOff>
      <xdr:row>0</xdr:row>
      <xdr:rowOff>0</xdr:rowOff>
    </xdr:to>
    <xdr:sp macro="" textlink="">
      <xdr:nvSpPr>
        <xdr:cNvPr id="17420" name="Text Box 12">
          <a:extLst>
            <a:ext uri="{FF2B5EF4-FFF2-40B4-BE49-F238E27FC236}">
              <a16:creationId xmlns:a16="http://schemas.microsoft.com/office/drawing/2014/main" id="{00000000-0008-0000-0D00-00000C440000}"/>
            </a:ext>
          </a:extLst>
        </xdr:cNvPr>
        <xdr:cNvSpPr txBox="1">
          <a:spLocks noChangeArrowheads="1"/>
        </xdr:cNvSpPr>
      </xdr:nvSpPr>
      <xdr:spPr bwMode="auto">
        <a:xfrm>
          <a:off x="9624060" y="0"/>
          <a:ext cx="11452860" cy="0"/>
        </a:xfrm>
        <a:prstGeom prst="rect">
          <a:avLst/>
        </a:prstGeom>
        <a:solidFill>
          <a:srgbClr val="EAEAEA"/>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en-AU" sz="1200" b="0" i="0" u="none" strike="noStrike" baseline="0">
              <a:solidFill>
                <a:srgbClr val="000000"/>
              </a:solidFill>
              <a:latin typeface="Arial"/>
              <a:cs typeface="Arial"/>
            </a:rPr>
            <a:t>Note:</a:t>
          </a:r>
        </a:p>
        <a:p>
          <a:pPr algn="l" rtl="0">
            <a:defRPr sz="1000"/>
          </a:pPr>
          <a:r>
            <a:rPr lang="en-AU" sz="1200" b="0" i="0" u="none" strike="noStrike" baseline="0">
              <a:solidFill>
                <a:srgbClr val="000000"/>
              </a:solidFill>
              <a:latin typeface="Arial"/>
              <a:cs typeface="Arial"/>
            </a:rPr>
            <a:t>Adult Equivalents (AEs) for dry cattle are based on relativity to a standard weight of beast carried for 12 months.  One adult equivalent (AE) can be thought of as the amount of feed consumed in 12 months by a non-lactating animal of average weight 450 kg. Therefore, if average feed consumption is 2.2% of bodyweight, this would be equivalent to approx 3,650 kg dry matter per year for one AE.</a:t>
          </a:r>
        </a:p>
      </xdr:txBody>
    </xdr:sp>
    <xdr:clientData/>
  </xdr:twoCellAnchor>
  <xdr:twoCellAnchor>
    <xdr:from>
      <xdr:col>5</xdr:col>
      <xdr:colOff>22860</xdr:colOff>
      <xdr:row>233</xdr:row>
      <xdr:rowOff>160020</xdr:rowOff>
    </xdr:from>
    <xdr:to>
      <xdr:col>10</xdr:col>
      <xdr:colOff>762000</xdr:colOff>
      <xdr:row>237</xdr:row>
      <xdr:rowOff>99060</xdr:rowOff>
    </xdr:to>
    <xdr:sp macro="" textlink="">
      <xdr:nvSpPr>
        <xdr:cNvPr id="17422" name="Text Box 14">
          <a:extLst>
            <a:ext uri="{FF2B5EF4-FFF2-40B4-BE49-F238E27FC236}">
              <a16:creationId xmlns:a16="http://schemas.microsoft.com/office/drawing/2014/main" id="{00000000-0008-0000-0D00-00000E440000}"/>
            </a:ext>
          </a:extLst>
        </xdr:cNvPr>
        <xdr:cNvSpPr txBox="1">
          <a:spLocks noChangeArrowheads="1"/>
        </xdr:cNvSpPr>
      </xdr:nvSpPr>
      <xdr:spPr bwMode="auto">
        <a:xfrm>
          <a:off x="9624060" y="49042320"/>
          <a:ext cx="11452860" cy="701040"/>
        </a:xfrm>
        <a:prstGeom prst="rect">
          <a:avLst/>
        </a:prstGeom>
        <a:solidFill>
          <a:srgbClr val="EAEAEA"/>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en-AU" sz="1200" b="0" i="0" u="none" strike="noStrike" baseline="0">
              <a:solidFill>
                <a:srgbClr val="000000"/>
              </a:solidFill>
              <a:latin typeface="Arial"/>
              <a:cs typeface="Arial"/>
            </a:rPr>
            <a:t>Note:</a:t>
          </a:r>
        </a:p>
        <a:p>
          <a:pPr algn="l" rtl="0">
            <a:defRPr sz="1000"/>
          </a:pPr>
          <a:r>
            <a:rPr lang="en-AU" sz="1200" b="0" i="0" u="none" strike="noStrike" baseline="0">
              <a:solidFill>
                <a:srgbClr val="000000"/>
              </a:solidFill>
              <a:latin typeface="Arial"/>
              <a:cs typeface="Arial"/>
            </a:rPr>
            <a:t>Adult Equivalents (AEs) for dry cattle are based on relativity to a standard weight of beast carried for 12 months.  One adult equivalent (AE) can be thought of as the amount of feed consumed in 12 months by a non-lactating animal of average weight 450 kg. Therefore, if average feed consumption is 2.2% of bodyweight, this would be equivalent to approx 3,650 kg dry matter per year for one AE.</a:t>
          </a:r>
        </a:p>
      </xdr:txBody>
    </xdr:sp>
    <xdr:clientData/>
  </xdr:twoCellAnchor>
  <xdr:twoCellAnchor>
    <xdr:from>
      <xdr:col>18</xdr:col>
      <xdr:colOff>441960</xdr:colOff>
      <xdr:row>147</xdr:row>
      <xdr:rowOff>167640</xdr:rowOff>
    </xdr:from>
    <xdr:to>
      <xdr:col>20</xdr:col>
      <xdr:colOff>662940</xdr:colOff>
      <xdr:row>149</xdr:row>
      <xdr:rowOff>68580</xdr:rowOff>
    </xdr:to>
    <xdr:sp macro="" textlink="">
      <xdr:nvSpPr>
        <xdr:cNvPr id="17423" name="AutoShape 15">
          <a:extLst>
            <a:ext uri="{FF2B5EF4-FFF2-40B4-BE49-F238E27FC236}">
              <a16:creationId xmlns:a16="http://schemas.microsoft.com/office/drawing/2014/main" id="{00000000-0008-0000-0D00-00000F440000}"/>
            </a:ext>
          </a:extLst>
        </xdr:cNvPr>
        <xdr:cNvSpPr>
          <a:spLocks noChangeArrowheads="1"/>
        </xdr:cNvSpPr>
      </xdr:nvSpPr>
      <xdr:spPr bwMode="auto">
        <a:xfrm>
          <a:off x="33268920" y="32491680"/>
          <a:ext cx="3238500" cy="289560"/>
        </a:xfrm>
        <a:prstGeom prst="leftArrow">
          <a:avLst>
            <a:gd name="adj1" fmla="val 50000"/>
            <a:gd name="adj2" fmla="val 279605"/>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24</xdr:col>
      <xdr:colOff>144780</xdr:colOff>
      <xdr:row>148</xdr:row>
      <xdr:rowOff>68580</xdr:rowOff>
    </xdr:from>
    <xdr:to>
      <xdr:col>24</xdr:col>
      <xdr:colOff>2598420</xdr:colOff>
      <xdr:row>149</xdr:row>
      <xdr:rowOff>182880</xdr:rowOff>
    </xdr:to>
    <xdr:sp macro="" textlink="">
      <xdr:nvSpPr>
        <xdr:cNvPr id="17424" name="AutoShape 16">
          <a:extLst>
            <a:ext uri="{FF2B5EF4-FFF2-40B4-BE49-F238E27FC236}">
              <a16:creationId xmlns:a16="http://schemas.microsoft.com/office/drawing/2014/main" id="{00000000-0008-0000-0D00-000010440000}"/>
            </a:ext>
          </a:extLst>
        </xdr:cNvPr>
        <xdr:cNvSpPr>
          <a:spLocks noChangeArrowheads="1"/>
        </xdr:cNvSpPr>
      </xdr:nvSpPr>
      <xdr:spPr bwMode="auto">
        <a:xfrm flipH="1">
          <a:off x="40789860" y="32590740"/>
          <a:ext cx="2453640" cy="304800"/>
        </a:xfrm>
        <a:prstGeom prst="leftArrow">
          <a:avLst>
            <a:gd name="adj1" fmla="val 50000"/>
            <a:gd name="adj2" fmla="val 201250"/>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18</xdr:col>
      <xdr:colOff>441960</xdr:colOff>
      <xdr:row>0</xdr:row>
      <xdr:rowOff>0</xdr:rowOff>
    </xdr:from>
    <xdr:to>
      <xdr:col>20</xdr:col>
      <xdr:colOff>662940</xdr:colOff>
      <xdr:row>0</xdr:row>
      <xdr:rowOff>0</xdr:rowOff>
    </xdr:to>
    <xdr:sp macro="" textlink="">
      <xdr:nvSpPr>
        <xdr:cNvPr id="17425" name="AutoShape 17">
          <a:extLst>
            <a:ext uri="{FF2B5EF4-FFF2-40B4-BE49-F238E27FC236}">
              <a16:creationId xmlns:a16="http://schemas.microsoft.com/office/drawing/2014/main" id="{00000000-0008-0000-0D00-000011440000}"/>
            </a:ext>
          </a:extLst>
        </xdr:cNvPr>
        <xdr:cNvSpPr>
          <a:spLocks noChangeArrowheads="1"/>
        </xdr:cNvSpPr>
      </xdr:nvSpPr>
      <xdr:spPr bwMode="auto">
        <a:xfrm>
          <a:off x="33268920" y="0"/>
          <a:ext cx="3238500" cy="0"/>
        </a:xfrm>
        <a:prstGeom prst="leftArrow">
          <a:avLst>
            <a:gd name="adj1" fmla="val 50000"/>
            <a:gd name="adj2" fmla="val -2147483648"/>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24</xdr:col>
      <xdr:colOff>144780</xdr:colOff>
      <xdr:row>0</xdr:row>
      <xdr:rowOff>0</xdr:rowOff>
    </xdr:from>
    <xdr:to>
      <xdr:col>24</xdr:col>
      <xdr:colOff>2606040</xdr:colOff>
      <xdr:row>0</xdr:row>
      <xdr:rowOff>0</xdr:rowOff>
    </xdr:to>
    <xdr:sp macro="" textlink="">
      <xdr:nvSpPr>
        <xdr:cNvPr id="17426" name="AutoShape 18">
          <a:extLst>
            <a:ext uri="{FF2B5EF4-FFF2-40B4-BE49-F238E27FC236}">
              <a16:creationId xmlns:a16="http://schemas.microsoft.com/office/drawing/2014/main" id="{00000000-0008-0000-0D00-000012440000}"/>
            </a:ext>
          </a:extLst>
        </xdr:cNvPr>
        <xdr:cNvSpPr>
          <a:spLocks noChangeArrowheads="1"/>
        </xdr:cNvSpPr>
      </xdr:nvSpPr>
      <xdr:spPr bwMode="auto">
        <a:xfrm flipH="1">
          <a:off x="40789860" y="0"/>
          <a:ext cx="2461260" cy="0"/>
        </a:xfrm>
        <a:prstGeom prst="leftArrow">
          <a:avLst>
            <a:gd name="adj1" fmla="val 50000"/>
            <a:gd name="adj2" fmla="val -2147483648"/>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18</xdr:col>
      <xdr:colOff>441960</xdr:colOff>
      <xdr:row>0</xdr:row>
      <xdr:rowOff>0</xdr:rowOff>
    </xdr:from>
    <xdr:to>
      <xdr:col>20</xdr:col>
      <xdr:colOff>662940</xdr:colOff>
      <xdr:row>0</xdr:row>
      <xdr:rowOff>0</xdr:rowOff>
    </xdr:to>
    <xdr:sp macro="" textlink="">
      <xdr:nvSpPr>
        <xdr:cNvPr id="17427" name="AutoShape 19">
          <a:extLst>
            <a:ext uri="{FF2B5EF4-FFF2-40B4-BE49-F238E27FC236}">
              <a16:creationId xmlns:a16="http://schemas.microsoft.com/office/drawing/2014/main" id="{00000000-0008-0000-0D00-000013440000}"/>
            </a:ext>
          </a:extLst>
        </xdr:cNvPr>
        <xdr:cNvSpPr>
          <a:spLocks noChangeArrowheads="1"/>
        </xdr:cNvSpPr>
      </xdr:nvSpPr>
      <xdr:spPr bwMode="auto">
        <a:xfrm>
          <a:off x="33268920" y="0"/>
          <a:ext cx="3238500" cy="0"/>
        </a:xfrm>
        <a:prstGeom prst="leftArrow">
          <a:avLst>
            <a:gd name="adj1" fmla="val 50000"/>
            <a:gd name="adj2" fmla="val -2147483648"/>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24</xdr:col>
      <xdr:colOff>144780</xdr:colOff>
      <xdr:row>0</xdr:row>
      <xdr:rowOff>0</xdr:rowOff>
    </xdr:from>
    <xdr:to>
      <xdr:col>24</xdr:col>
      <xdr:colOff>2606040</xdr:colOff>
      <xdr:row>0</xdr:row>
      <xdr:rowOff>0</xdr:rowOff>
    </xdr:to>
    <xdr:sp macro="" textlink="">
      <xdr:nvSpPr>
        <xdr:cNvPr id="17428" name="AutoShape 20">
          <a:extLst>
            <a:ext uri="{FF2B5EF4-FFF2-40B4-BE49-F238E27FC236}">
              <a16:creationId xmlns:a16="http://schemas.microsoft.com/office/drawing/2014/main" id="{00000000-0008-0000-0D00-000014440000}"/>
            </a:ext>
          </a:extLst>
        </xdr:cNvPr>
        <xdr:cNvSpPr>
          <a:spLocks noChangeArrowheads="1"/>
        </xdr:cNvSpPr>
      </xdr:nvSpPr>
      <xdr:spPr bwMode="auto">
        <a:xfrm flipH="1">
          <a:off x="40789860" y="0"/>
          <a:ext cx="2461260" cy="0"/>
        </a:xfrm>
        <a:prstGeom prst="leftArrow">
          <a:avLst>
            <a:gd name="adj1" fmla="val 50000"/>
            <a:gd name="adj2" fmla="val -2147483648"/>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106680</xdr:colOff>
      <xdr:row>0</xdr:row>
      <xdr:rowOff>0</xdr:rowOff>
    </xdr:from>
    <xdr:to>
      <xdr:col>9</xdr:col>
      <xdr:colOff>1043940</xdr:colOff>
      <xdr:row>0</xdr:row>
      <xdr:rowOff>0</xdr:rowOff>
    </xdr:to>
    <xdr:sp macro="" textlink="">
      <xdr:nvSpPr>
        <xdr:cNvPr id="17429" name="TextBox 3">
          <a:extLst>
            <a:ext uri="{FF2B5EF4-FFF2-40B4-BE49-F238E27FC236}">
              <a16:creationId xmlns:a16="http://schemas.microsoft.com/office/drawing/2014/main" id="{00000000-0008-0000-0D00-000015440000}"/>
            </a:ext>
          </a:extLst>
        </xdr:cNvPr>
        <xdr:cNvSpPr txBox="1">
          <a:spLocks noChangeArrowheads="1"/>
        </xdr:cNvSpPr>
      </xdr:nvSpPr>
      <xdr:spPr bwMode="auto">
        <a:xfrm>
          <a:off x="9707880" y="0"/>
          <a:ext cx="9654540" cy="0"/>
        </a:xfrm>
        <a:prstGeom prst="rect">
          <a:avLst/>
        </a:prstGeom>
        <a:solidFill>
          <a:srgbClr val="EEECE1"/>
        </a:solidFill>
        <a:ln w="9525">
          <a:solidFill>
            <a:srgbClr val="000000"/>
          </a:solidFill>
          <a:miter lim="800000"/>
          <a:headEnd/>
          <a:tailEnd/>
        </a:ln>
      </xdr:spPr>
      <xdr:txBody>
        <a:bodyPr vertOverflow="clip" wrap="square" lIns="27432" tIns="18288" rIns="0" bIns="0" anchor="t"/>
        <a:lstStyle/>
        <a:p>
          <a:pPr algn="l" rtl="0">
            <a:defRPr sz="1000"/>
          </a:pPr>
          <a:r>
            <a:rPr lang="en-AU" sz="1200" b="0" i="0" u="none" strike="noStrike" baseline="0">
              <a:solidFill>
                <a:srgbClr val="000000"/>
              </a:solidFill>
              <a:latin typeface="Calibri"/>
              <a:cs typeface="Calibri"/>
            </a:rPr>
            <a:t>Please ensure that the values per head entered here reflect the  average value of the stock in the paddock at calving, not the market value when selling. The values you enter should reflect something along the lines of the values you might get in a "Clearout Sale".</a:t>
          </a:r>
        </a:p>
        <a:p>
          <a:pPr algn="l" rtl="0">
            <a:defRPr sz="1000"/>
          </a:pPr>
          <a:r>
            <a:rPr lang="en-AU" sz="1200" b="0" i="0" u="none" strike="noStrike" baseline="0">
              <a:solidFill>
                <a:srgbClr val="000000"/>
              </a:solidFill>
              <a:latin typeface="Calibri"/>
              <a:cs typeface="Calibri"/>
            </a:rPr>
            <a:t>These values are not used in this analysis to calculate the opportunity cost of livestock capital. Only the interest payable on the average annual livestock purchases is counted to allow comparison with other forages.  Please change the formula in D171 if all livestock capital is to be accounted for.</a:t>
          </a:r>
        </a:p>
      </xdr:txBody>
    </xdr:sp>
    <xdr:clientData/>
  </xdr:twoCellAnchor>
  <xdr:twoCellAnchor>
    <xdr:from>
      <xdr:col>18</xdr:col>
      <xdr:colOff>441960</xdr:colOff>
      <xdr:row>0</xdr:row>
      <xdr:rowOff>0</xdr:rowOff>
    </xdr:from>
    <xdr:to>
      <xdr:col>20</xdr:col>
      <xdr:colOff>662940</xdr:colOff>
      <xdr:row>0</xdr:row>
      <xdr:rowOff>0</xdr:rowOff>
    </xdr:to>
    <xdr:sp macro="" textlink="">
      <xdr:nvSpPr>
        <xdr:cNvPr id="17430" name="AutoShape 22">
          <a:extLst>
            <a:ext uri="{FF2B5EF4-FFF2-40B4-BE49-F238E27FC236}">
              <a16:creationId xmlns:a16="http://schemas.microsoft.com/office/drawing/2014/main" id="{00000000-0008-0000-0D00-000016440000}"/>
            </a:ext>
          </a:extLst>
        </xdr:cNvPr>
        <xdr:cNvSpPr>
          <a:spLocks noChangeArrowheads="1"/>
        </xdr:cNvSpPr>
      </xdr:nvSpPr>
      <xdr:spPr bwMode="auto">
        <a:xfrm>
          <a:off x="33268920" y="0"/>
          <a:ext cx="3238500" cy="0"/>
        </a:xfrm>
        <a:prstGeom prst="leftArrow">
          <a:avLst>
            <a:gd name="adj1" fmla="val 50000"/>
            <a:gd name="adj2" fmla="val -2147483648"/>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24</xdr:col>
      <xdr:colOff>144780</xdr:colOff>
      <xdr:row>0</xdr:row>
      <xdr:rowOff>0</xdr:rowOff>
    </xdr:from>
    <xdr:to>
      <xdr:col>24</xdr:col>
      <xdr:colOff>2606040</xdr:colOff>
      <xdr:row>0</xdr:row>
      <xdr:rowOff>0</xdr:rowOff>
    </xdr:to>
    <xdr:sp macro="" textlink="">
      <xdr:nvSpPr>
        <xdr:cNvPr id="17431" name="AutoShape 23">
          <a:extLst>
            <a:ext uri="{FF2B5EF4-FFF2-40B4-BE49-F238E27FC236}">
              <a16:creationId xmlns:a16="http://schemas.microsoft.com/office/drawing/2014/main" id="{00000000-0008-0000-0D00-000017440000}"/>
            </a:ext>
          </a:extLst>
        </xdr:cNvPr>
        <xdr:cNvSpPr>
          <a:spLocks noChangeArrowheads="1"/>
        </xdr:cNvSpPr>
      </xdr:nvSpPr>
      <xdr:spPr bwMode="auto">
        <a:xfrm flipH="1">
          <a:off x="40789860" y="0"/>
          <a:ext cx="2461260" cy="0"/>
        </a:xfrm>
        <a:prstGeom prst="leftArrow">
          <a:avLst>
            <a:gd name="adj1" fmla="val 50000"/>
            <a:gd name="adj2" fmla="val -2147483648"/>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22860</xdr:colOff>
      <xdr:row>0</xdr:row>
      <xdr:rowOff>0</xdr:rowOff>
    </xdr:from>
    <xdr:to>
      <xdr:col>10</xdr:col>
      <xdr:colOff>762000</xdr:colOff>
      <xdr:row>0</xdr:row>
      <xdr:rowOff>0</xdr:rowOff>
    </xdr:to>
    <xdr:sp macro="" textlink="">
      <xdr:nvSpPr>
        <xdr:cNvPr id="17432" name="Text Box 24">
          <a:extLst>
            <a:ext uri="{FF2B5EF4-FFF2-40B4-BE49-F238E27FC236}">
              <a16:creationId xmlns:a16="http://schemas.microsoft.com/office/drawing/2014/main" id="{00000000-0008-0000-0D00-000018440000}"/>
            </a:ext>
          </a:extLst>
        </xdr:cNvPr>
        <xdr:cNvSpPr txBox="1">
          <a:spLocks noChangeArrowheads="1"/>
        </xdr:cNvSpPr>
      </xdr:nvSpPr>
      <xdr:spPr bwMode="auto">
        <a:xfrm>
          <a:off x="9624060" y="0"/>
          <a:ext cx="11452860" cy="0"/>
        </a:xfrm>
        <a:prstGeom prst="rect">
          <a:avLst/>
        </a:prstGeom>
        <a:solidFill>
          <a:srgbClr val="EAEAEA"/>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en-AU" sz="1200" b="0" i="0" u="none" strike="noStrike" baseline="0">
              <a:solidFill>
                <a:srgbClr val="000000"/>
              </a:solidFill>
              <a:latin typeface="Arial"/>
              <a:cs typeface="Arial"/>
            </a:rPr>
            <a:t>Note:</a:t>
          </a:r>
        </a:p>
        <a:p>
          <a:pPr algn="l" rtl="0">
            <a:defRPr sz="1000"/>
          </a:pPr>
          <a:r>
            <a:rPr lang="en-AU" sz="1200" b="0" i="0" u="none" strike="noStrike" baseline="0">
              <a:solidFill>
                <a:srgbClr val="000000"/>
              </a:solidFill>
              <a:latin typeface="Arial"/>
              <a:cs typeface="Arial"/>
            </a:rPr>
            <a:t>Adult Equivalents (AEs) for dry cattle are based on relativity to a standard weight of beast carried for 12 months.  One adult equivalent (AE) can be thought of as the amount of feed consumed in 12 months by a non-lactating animal of average weight 450 kg. Therefore, if average feed consumption is 2.2% of bodyweight, this would be equivalent to approx 3,650 kg dry matter per year for one AE.</a:t>
          </a:r>
        </a:p>
      </xdr:txBody>
    </xdr:sp>
    <xdr:clientData/>
  </xdr:twoCellAnchor>
  <xdr:twoCellAnchor>
    <xdr:from>
      <xdr:col>5</xdr:col>
      <xdr:colOff>22860</xdr:colOff>
      <xdr:row>233</xdr:row>
      <xdr:rowOff>160020</xdr:rowOff>
    </xdr:from>
    <xdr:to>
      <xdr:col>10</xdr:col>
      <xdr:colOff>762000</xdr:colOff>
      <xdr:row>237</xdr:row>
      <xdr:rowOff>99060</xdr:rowOff>
    </xdr:to>
    <xdr:sp macro="" textlink="">
      <xdr:nvSpPr>
        <xdr:cNvPr id="17433" name="Text Box 25">
          <a:extLst>
            <a:ext uri="{FF2B5EF4-FFF2-40B4-BE49-F238E27FC236}">
              <a16:creationId xmlns:a16="http://schemas.microsoft.com/office/drawing/2014/main" id="{00000000-0008-0000-0D00-000019440000}"/>
            </a:ext>
          </a:extLst>
        </xdr:cNvPr>
        <xdr:cNvSpPr txBox="1">
          <a:spLocks noChangeArrowheads="1"/>
        </xdr:cNvSpPr>
      </xdr:nvSpPr>
      <xdr:spPr bwMode="auto">
        <a:xfrm>
          <a:off x="9624060" y="49042320"/>
          <a:ext cx="11452860" cy="701040"/>
        </a:xfrm>
        <a:prstGeom prst="rect">
          <a:avLst/>
        </a:prstGeom>
        <a:solidFill>
          <a:srgbClr val="EAEAEA"/>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en-AU" sz="1200" b="0" i="0" u="none" strike="noStrike" baseline="0">
              <a:solidFill>
                <a:srgbClr val="000000"/>
              </a:solidFill>
              <a:latin typeface="Arial"/>
              <a:cs typeface="Arial"/>
            </a:rPr>
            <a:t>Note:</a:t>
          </a:r>
        </a:p>
        <a:p>
          <a:pPr algn="l" rtl="0">
            <a:defRPr sz="1000"/>
          </a:pPr>
          <a:r>
            <a:rPr lang="en-AU" sz="1200" b="0" i="0" u="none" strike="noStrike" baseline="0">
              <a:solidFill>
                <a:srgbClr val="000000"/>
              </a:solidFill>
              <a:latin typeface="Arial"/>
              <a:cs typeface="Arial"/>
            </a:rPr>
            <a:t>Adult Equivalents (AEs) for dry cattle are based on relativity to a standard weight of beast carried for 12 months.  One adult equivalent (AE) can be thought of as the amount of feed consumed in 12 months by a non-lactating animal of average weight 450 kg. Therefore, if average feed consumption is 2.2% of bodyweight, this would be equivalent to approx 3,650 kg dry matter per year for one AE.</a:t>
          </a:r>
        </a:p>
      </xdr:txBody>
    </xdr:sp>
    <xdr:clientData/>
  </xdr:twoCellAnchor>
  <xdr:twoCellAnchor>
    <xdr:from>
      <xdr:col>18</xdr:col>
      <xdr:colOff>441960</xdr:colOff>
      <xdr:row>147</xdr:row>
      <xdr:rowOff>167640</xdr:rowOff>
    </xdr:from>
    <xdr:to>
      <xdr:col>20</xdr:col>
      <xdr:colOff>662940</xdr:colOff>
      <xdr:row>149</xdr:row>
      <xdr:rowOff>68580</xdr:rowOff>
    </xdr:to>
    <xdr:sp macro="" textlink="">
      <xdr:nvSpPr>
        <xdr:cNvPr id="17434" name="AutoShape 26">
          <a:extLst>
            <a:ext uri="{FF2B5EF4-FFF2-40B4-BE49-F238E27FC236}">
              <a16:creationId xmlns:a16="http://schemas.microsoft.com/office/drawing/2014/main" id="{00000000-0008-0000-0D00-00001A440000}"/>
            </a:ext>
          </a:extLst>
        </xdr:cNvPr>
        <xdr:cNvSpPr>
          <a:spLocks noChangeArrowheads="1"/>
        </xdr:cNvSpPr>
      </xdr:nvSpPr>
      <xdr:spPr bwMode="auto">
        <a:xfrm>
          <a:off x="33268920" y="32491680"/>
          <a:ext cx="3238500" cy="289560"/>
        </a:xfrm>
        <a:prstGeom prst="leftArrow">
          <a:avLst>
            <a:gd name="adj1" fmla="val 50000"/>
            <a:gd name="adj2" fmla="val 279605"/>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24</xdr:col>
      <xdr:colOff>144780</xdr:colOff>
      <xdr:row>148</xdr:row>
      <xdr:rowOff>68580</xdr:rowOff>
    </xdr:from>
    <xdr:to>
      <xdr:col>24</xdr:col>
      <xdr:colOff>2598420</xdr:colOff>
      <xdr:row>149</xdr:row>
      <xdr:rowOff>182880</xdr:rowOff>
    </xdr:to>
    <xdr:sp macro="" textlink="">
      <xdr:nvSpPr>
        <xdr:cNvPr id="17435" name="AutoShape 27">
          <a:extLst>
            <a:ext uri="{FF2B5EF4-FFF2-40B4-BE49-F238E27FC236}">
              <a16:creationId xmlns:a16="http://schemas.microsoft.com/office/drawing/2014/main" id="{00000000-0008-0000-0D00-00001B440000}"/>
            </a:ext>
          </a:extLst>
        </xdr:cNvPr>
        <xdr:cNvSpPr>
          <a:spLocks noChangeArrowheads="1"/>
        </xdr:cNvSpPr>
      </xdr:nvSpPr>
      <xdr:spPr bwMode="auto">
        <a:xfrm flipH="1">
          <a:off x="40789860" y="32590740"/>
          <a:ext cx="2453640" cy="304800"/>
        </a:xfrm>
        <a:prstGeom prst="leftArrow">
          <a:avLst>
            <a:gd name="adj1" fmla="val 50000"/>
            <a:gd name="adj2" fmla="val 201250"/>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18</xdr:col>
      <xdr:colOff>441960</xdr:colOff>
      <xdr:row>0</xdr:row>
      <xdr:rowOff>0</xdr:rowOff>
    </xdr:from>
    <xdr:to>
      <xdr:col>20</xdr:col>
      <xdr:colOff>662940</xdr:colOff>
      <xdr:row>0</xdr:row>
      <xdr:rowOff>0</xdr:rowOff>
    </xdr:to>
    <xdr:sp macro="" textlink="">
      <xdr:nvSpPr>
        <xdr:cNvPr id="17436" name="AutoShape 28">
          <a:extLst>
            <a:ext uri="{FF2B5EF4-FFF2-40B4-BE49-F238E27FC236}">
              <a16:creationId xmlns:a16="http://schemas.microsoft.com/office/drawing/2014/main" id="{00000000-0008-0000-0D00-00001C440000}"/>
            </a:ext>
          </a:extLst>
        </xdr:cNvPr>
        <xdr:cNvSpPr>
          <a:spLocks noChangeArrowheads="1"/>
        </xdr:cNvSpPr>
      </xdr:nvSpPr>
      <xdr:spPr bwMode="auto">
        <a:xfrm>
          <a:off x="33268920" y="0"/>
          <a:ext cx="3238500" cy="0"/>
        </a:xfrm>
        <a:prstGeom prst="leftArrow">
          <a:avLst>
            <a:gd name="adj1" fmla="val 50000"/>
            <a:gd name="adj2" fmla="val -2147483648"/>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24</xdr:col>
      <xdr:colOff>144780</xdr:colOff>
      <xdr:row>0</xdr:row>
      <xdr:rowOff>0</xdr:rowOff>
    </xdr:from>
    <xdr:to>
      <xdr:col>24</xdr:col>
      <xdr:colOff>2606040</xdr:colOff>
      <xdr:row>0</xdr:row>
      <xdr:rowOff>0</xdr:rowOff>
    </xdr:to>
    <xdr:sp macro="" textlink="">
      <xdr:nvSpPr>
        <xdr:cNvPr id="17437" name="AutoShape 29">
          <a:extLst>
            <a:ext uri="{FF2B5EF4-FFF2-40B4-BE49-F238E27FC236}">
              <a16:creationId xmlns:a16="http://schemas.microsoft.com/office/drawing/2014/main" id="{00000000-0008-0000-0D00-00001D440000}"/>
            </a:ext>
          </a:extLst>
        </xdr:cNvPr>
        <xdr:cNvSpPr>
          <a:spLocks noChangeArrowheads="1"/>
        </xdr:cNvSpPr>
      </xdr:nvSpPr>
      <xdr:spPr bwMode="auto">
        <a:xfrm flipH="1">
          <a:off x="40789860" y="0"/>
          <a:ext cx="2461260" cy="0"/>
        </a:xfrm>
        <a:prstGeom prst="leftArrow">
          <a:avLst>
            <a:gd name="adj1" fmla="val 50000"/>
            <a:gd name="adj2" fmla="val -2147483648"/>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18</xdr:col>
      <xdr:colOff>441960</xdr:colOff>
      <xdr:row>0</xdr:row>
      <xdr:rowOff>0</xdr:rowOff>
    </xdr:from>
    <xdr:to>
      <xdr:col>20</xdr:col>
      <xdr:colOff>662940</xdr:colOff>
      <xdr:row>0</xdr:row>
      <xdr:rowOff>0</xdr:rowOff>
    </xdr:to>
    <xdr:sp macro="" textlink="">
      <xdr:nvSpPr>
        <xdr:cNvPr id="17438" name="AutoShape 30">
          <a:extLst>
            <a:ext uri="{FF2B5EF4-FFF2-40B4-BE49-F238E27FC236}">
              <a16:creationId xmlns:a16="http://schemas.microsoft.com/office/drawing/2014/main" id="{00000000-0008-0000-0D00-00001E440000}"/>
            </a:ext>
          </a:extLst>
        </xdr:cNvPr>
        <xdr:cNvSpPr>
          <a:spLocks noChangeArrowheads="1"/>
        </xdr:cNvSpPr>
      </xdr:nvSpPr>
      <xdr:spPr bwMode="auto">
        <a:xfrm>
          <a:off x="33268920" y="0"/>
          <a:ext cx="3238500" cy="0"/>
        </a:xfrm>
        <a:prstGeom prst="leftArrow">
          <a:avLst>
            <a:gd name="adj1" fmla="val 50000"/>
            <a:gd name="adj2" fmla="val -2147483648"/>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24</xdr:col>
      <xdr:colOff>144780</xdr:colOff>
      <xdr:row>0</xdr:row>
      <xdr:rowOff>0</xdr:rowOff>
    </xdr:from>
    <xdr:to>
      <xdr:col>24</xdr:col>
      <xdr:colOff>2606040</xdr:colOff>
      <xdr:row>0</xdr:row>
      <xdr:rowOff>0</xdr:rowOff>
    </xdr:to>
    <xdr:sp macro="" textlink="">
      <xdr:nvSpPr>
        <xdr:cNvPr id="17439" name="AutoShape 31">
          <a:extLst>
            <a:ext uri="{FF2B5EF4-FFF2-40B4-BE49-F238E27FC236}">
              <a16:creationId xmlns:a16="http://schemas.microsoft.com/office/drawing/2014/main" id="{00000000-0008-0000-0D00-00001F440000}"/>
            </a:ext>
          </a:extLst>
        </xdr:cNvPr>
        <xdr:cNvSpPr>
          <a:spLocks noChangeArrowheads="1"/>
        </xdr:cNvSpPr>
      </xdr:nvSpPr>
      <xdr:spPr bwMode="auto">
        <a:xfrm flipH="1">
          <a:off x="40789860" y="0"/>
          <a:ext cx="2461260" cy="0"/>
        </a:xfrm>
        <a:prstGeom prst="leftArrow">
          <a:avLst>
            <a:gd name="adj1" fmla="val 50000"/>
            <a:gd name="adj2" fmla="val -2147483648"/>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106680</xdr:colOff>
      <xdr:row>0</xdr:row>
      <xdr:rowOff>0</xdr:rowOff>
    </xdr:from>
    <xdr:to>
      <xdr:col>9</xdr:col>
      <xdr:colOff>1043940</xdr:colOff>
      <xdr:row>0</xdr:row>
      <xdr:rowOff>0</xdr:rowOff>
    </xdr:to>
    <xdr:sp macro="" textlink="">
      <xdr:nvSpPr>
        <xdr:cNvPr id="17440" name="TextBox 3">
          <a:extLst>
            <a:ext uri="{FF2B5EF4-FFF2-40B4-BE49-F238E27FC236}">
              <a16:creationId xmlns:a16="http://schemas.microsoft.com/office/drawing/2014/main" id="{00000000-0008-0000-0D00-000020440000}"/>
            </a:ext>
          </a:extLst>
        </xdr:cNvPr>
        <xdr:cNvSpPr txBox="1">
          <a:spLocks noChangeArrowheads="1"/>
        </xdr:cNvSpPr>
      </xdr:nvSpPr>
      <xdr:spPr bwMode="auto">
        <a:xfrm>
          <a:off x="9707880" y="0"/>
          <a:ext cx="9654540" cy="0"/>
        </a:xfrm>
        <a:prstGeom prst="rect">
          <a:avLst/>
        </a:prstGeom>
        <a:solidFill>
          <a:srgbClr val="EEECE1"/>
        </a:solidFill>
        <a:ln w="9525">
          <a:solidFill>
            <a:srgbClr val="000000"/>
          </a:solidFill>
          <a:miter lim="800000"/>
          <a:headEnd/>
          <a:tailEnd/>
        </a:ln>
      </xdr:spPr>
      <xdr:txBody>
        <a:bodyPr vertOverflow="clip" wrap="square" lIns="27432" tIns="18288" rIns="0" bIns="0" anchor="t"/>
        <a:lstStyle/>
        <a:p>
          <a:pPr algn="l" rtl="0">
            <a:defRPr sz="1000"/>
          </a:pPr>
          <a:r>
            <a:rPr lang="en-AU" sz="1200" b="0" i="0" u="none" strike="noStrike" baseline="0">
              <a:solidFill>
                <a:srgbClr val="000000"/>
              </a:solidFill>
              <a:latin typeface="Calibri"/>
              <a:cs typeface="Calibri"/>
            </a:rPr>
            <a:t>Please ensure that the values per head entered here reflect the  average value of the stock in the paddock at calving, not the market value when selling. The values you enter should reflect something along the lines of the values you might get in a "Clearout Sale".</a:t>
          </a:r>
        </a:p>
        <a:p>
          <a:pPr algn="l" rtl="0">
            <a:defRPr sz="1000"/>
          </a:pPr>
          <a:r>
            <a:rPr lang="en-AU" sz="1200" b="0" i="0" u="none" strike="noStrike" baseline="0">
              <a:solidFill>
                <a:srgbClr val="000000"/>
              </a:solidFill>
              <a:latin typeface="Calibri"/>
              <a:cs typeface="Calibri"/>
            </a:rPr>
            <a:t>These values are not used in this analysis to calculate the opportunity cost of livestock capital. Only the interest payable on the average annual livestock purchases is counted to allow comparison with other forages.  Please change the formula in D171 if all livestock capital is to be accounted for.</a:t>
          </a:r>
        </a:p>
      </xdr:txBody>
    </xdr:sp>
    <xdr:clientData/>
  </xdr:twoCellAnchor>
  <xdr:twoCellAnchor>
    <xdr:from>
      <xdr:col>18</xdr:col>
      <xdr:colOff>441960</xdr:colOff>
      <xdr:row>0</xdr:row>
      <xdr:rowOff>0</xdr:rowOff>
    </xdr:from>
    <xdr:to>
      <xdr:col>20</xdr:col>
      <xdr:colOff>662940</xdr:colOff>
      <xdr:row>0</xdr:row>
      <xdr:rowOff>0</xdr:rowOff>
    </xdr:to>
    <xdr:sp macro="" textlink="">
      <xdr:nvSpPr>
        <xdr:cNvPr id="17441" name="AutoShape 33">
          <a:extLst>
            <a:ext uri="{FF2B5EF4-FFF2-40B4-BE49-F238E27FC236}">
              <a16:creationId xmlns:a16="http://schemas.microsoft.com/office/drawing/2014/main" id="{00000000-0008-0000-0D00-000021440000}"/>
            </a:ext>
          </a:extLst>
        </xdr:cNvPr>
        <xdr:cNvSpPr>
          <a:spLocks noChangeArrowheads="1"/>
        </xdr:cNvSpPr>
      </xdr:nvSpPr>
      <xdr:spPr bwMode="auto">
        <a:xfrm>
          <a:off x="33268920" y="0"/>
          <a:ext cx="3238500" cy="0"/>
        </a:xfrm>
        <a:prstGeom prst="leftArrow">
          <a:avLst>
            <a:gd name="adj1" fmla="val 50000"/>
            <a:gd name="adj2" fmla="val -2147483648"/>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24</xdr:col>
      <xdr:colOff>144780</xdr:colOff>
      <xdr:row>0</xdr:row>
      <xdr:rowOff>0</xdr:rowOff>
    </xdr:from>
    <xdr:to>
      <xdr:col>24</xdr:col>
      <xdr:colOff>2606040</xdr:colOff>
      <xdr:row>0</xdr:row>
      <xdr:rowOff>0</xdr:rowOff>
    </xdr:to>
    <xdr:sp macro="" textlink="">
      <xdr:nvSpPr>
        <xdr:cNvPr id="17442" name="AutoShape 34">
          <a:extLst>
            <a:ext uri="{FF2B5EF4-FFF2-40B4-BE49-F238E27FC236}">
              <a16:creationId xmlns:a16="http://schemas.microsoft.com/office/drawing/2014/main" id="{00000000-0008-0000-0D00-000022440000}"/>
            </a:ext>
          </a:extLst>
        </xdr:cNvPr>
        <xdr:cNvSpPr>
          <a:spLocks noChangeArrowheads="1"/>
        </xdr:cNvSpPr>
      </xdr:nvSpPr>
      <xdr:spPr bwMode="auto">
        <a:xfrm flipH="1">
          <a:off x="40789860" y="0"/>
          <a:ext cx="2461260" cy="0"/>
        </a:xfrm>
        <a:prstGeom prst="leftArrow">
          <a:avLst>
            <a:gd name="adj1" fmla="val 50000"/>
            <a:gd name="adj2" fmla="val -2147483648"/>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22860</xdr:colOff>
      <xdr:row>0</xdr:row>
      <xdr:rowOff>0</xdr:rowOff>
    </xdr:from>
    <xdr:to>
      <xdr:col>10</xdr:col>
      <xdr:colOff>762000</xdr:colOff>
      <xdr:row>0</xdr:row>
      <xdr:rowOff>0</xdr:rowOff>
    </xdr:to>
    <xdr:sp macro="" textlink="">
      <xdr:nvSpPr>
        <xdr:cNvPr id="17443" name="Text Box 35">
          <a:extLst>
            <a:ext uri="{FF2B5EF4-FFF2-40B4-BE49-F238E27FC236}">
              <a16:creationId xmlns:a16="http://schemas.microsoft.com/office/drawing/2014/main" id="{00000000-0008-0000-0D00-000023440000}"/>
            </a:ext>
          </a:extLst>
        </xdr:cNvPr>
        <xdr:cNvSpPr txBox="1">
          <a:spLocks noChangeArrowheads="1"/>
        </xdr:cNvSpPr>
      </xdr:nvSpPr>
      <xdr:spPr bwMode="auto">
        <a:xfrm>
          <a:off x="9624060" y="0"/>
          <a:ext cx="11452860" cy="0"/>
        </a:xfrm>
        <a:prstGeom prst="rect">
          <a:avLst/>
        </a:prstGeom>
        <a:solidFill>
          <a:srgbClr val="EAEAEA"/>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en-AU" sz="1200" b="0" i="0" u="none" strike="noStrike" baseline="0">
              <a:solidFill>
                <a:srgbClr val="000000"/>
              </a:solidFill>
              <a:latin typeface="Arial"/>
              <a:cs typeface="Arial"/>
            </a:rPr>
            <a:t>Note:</a:t>
          </a:r>
        </a:p>
        <a:p>
          <a:pPr algn="l" rtl="0">
            <a:defRPr sz="1000"/>
          </a:pPr>
          <a:r>
            <a:rPr lang="en-AU" sz="1200" b="0" i="0" u="none" strike="noStrike" baseline="0">
              <a:solidFill>
                <a:srgbClr val="000000"/>
              </a:solidFill>
              <a:latin typeface="Arial"/>
              <a:cs typeface="Arial"/>
            </a:rPr>
            <a:t>Adult Equivalents (AEs) for dry cattle are based on relativity to a standard weight of beast carried for 12 months.  One adult equivalent (AE) can be thought of as the amount of feed consumed in 12 months by a non-lactating animal of average weight 450 kg. Therefore, if average feed consumption is 2.2% of bodyweight, this would be equivalent to approx 3,650 kg dry matter per year for one AE.</a:t>
          </a:r>
        </a:p>
      </xdr:txBody>
    </xdr:sp>
    <xdr:clientData/>
  </xdr:twoCellAnchor>
  <xdr:twoCellAnchor>
    <xdr:from>
      <xdr:col>18</xdr:col>
      <xdr:colOff>441960</xdr:colOff>
      <xdr:row>102</xdr:row>
      <xdr:rowOff>167640</xdr:rowOff>
    </xdr:from>
    <xdr:to>
      <xdr:col>20</xdr:col>
      <xdr:colOff>662940</xdr:colOff>
      <xdr:row>104</xdr:row>
      <xdr:rowOff>68580</xdr:rowOff>
    </xdr:to>
    <xdr:sp macro="" textlink="">
      <xdr:nvSpPr>
        <xdr:cNvPr id="17444" name="AutoShape 36">
          <a:extLst>
            <a:ext uri="{FF2B5EF4-FFF2-40B4-BE49-F238E27FC236}">
              <a16:creationId xmlns:a16="http://schemas.microsoft.com/office/drawing/2014/main" id="{00000000-0008-0000-0D00-000024440000}"/>
            </a:ext>
          </a:extLst>
        </xdr:cNvPr>
        <xdr:cNvSpPr>
          <a:spLocks noChangeArrowheads="1"/>
        </xdr:cNvSpPr>
      </xdr:nvSpPr>
      <xdr:spPr bwMode="auto">
        <a:xfrm>
          <a:off x="33268920" y="23644860"/>
          <a:ext cx="3238500" cy="281940"/>
        </a:xfrm>
        <a:prstGeom prst="leftArrow">
          <a:avLst>
            <a:gd name="adj1" fmla="val 50000"/>
            <a:gd name="adj2" fmla="val 287162"/>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24</xdr:col>
      <xdr:colOff>144780</xdr:colOff>
      <xdr:row>103</xdr:row>
      <xdr:rowOff>68580</xdr:rowOff>
    </xdr:from>
    <xdr:to>
      <xdr:col>24</xdr:col>
      <xdr:colOff>2598420</xdr:colOff>
      <xdr:row>104</xdr:row>
      <xdr:rowOff>182880</xdr:rowOff>
    </xdr:to>
    <xdr:sp macro="" textlink="">
      <xdr:nvSpPr>
        <xdr:cNvPr id="17445" name="AutoShape 37">
          <a:extLst>
            <a:ext uri="{FF2B5EF4-FFF2-40B4-BE49-F238E27FC236}">
              <a16:creationId xmlns:a16="http://schemas.microsoft.com/office/drawing/2014/main" id="{00000000-0008-0000-0D00-000025440000}"/>
            </a:ext>
          </a:extLst>
        </xdr:cNvPr>
        <xdr:cNvSpPr>
          <a:spLocks noChangeArrowheads="1"/>
        </xdr:cNvSpPr>
      </xdr:nvSpPr>
      <xdr:spPr bwMode="auto">
        <a:xfrm flipH="1">
          <a:off x="40789860" y="23736300"/>
          <a:ext cx="2453640" cy="304800"/>
        </a:xfrm>
        <a:prstGeom prst="leftArrow">
          <a:avLst>
            <a:gd name="adj1" fmla="val 50000"/>
            <a:gd name="adj2" fmla="val 201250"/>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22860</xdr:colOff>
      <xdr:row>176</xdr:row>
      <xdr:rowOff>160020</xdr:rowOff>
    </xdr:from>
    <xdr:to>
      <xdr:col>11</xdr:col>
      <xdr:colOff>762000</xdr:colOff>
      <xdr:row>180</xdr:row>
      <xdr:rowOff>99060</xdr:rowOff>
    </xdr:to>
    <xdr:sp macro="" textlink="">
      <xdr:nvSpPr>
        <xdr:cNvPr id="17446" name="Text Box 38">
          <a:extLst>
            <a:ext uri="{FF2B5EF4-FFF2-40B4-BE49-F238E27FC236}">
              <a16:creationId xmlns:a16="http://schemas.microsoft.com/office/drawing/2014/main" id="{00000000-0008-0000-0D00-000026440000}"/>
            </a:ext>
          </a:extLst>
        </xdr:cNvPr>
        <xdr:cNvSpPr txBox="1">
          <a:spLocks noChangeArrowheads="1"/>
        </xdr:cNvSpPr>
      </xdr:nvSpPr>
      <xdr:spPr bwMode="auto">
        <a:xfrm>
          <a:off x="12138660" y="38183820"/>
          <a:ext cx="10767060" cy="701040"/>
        </a:xfrm>
        <a:prstGeom prst="rect">
          <a:avLst/>
        </a:prstGeom>
        <a:solidFill>
          <a:srgbClr val="EAEAEA"/>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en-AU" sz="1200" b="0" i="0" u="none" strike="noStrike" baseline="0">
              <a:solidFill>
                <a:srgbClr val="000000"/>
              </a:solidFill>
              <a:latin typeface="Arial"/>
              <a:cs typeface="Arial"/>
            </a:rPr>
            <a:t>Note:</a:t>
          </a:r>
        </a:p>
        <a:p>
          <a:pPr algn="l" rtl="0">
            <a:defRPr sz="1000"/>
          </a:pPr>
          <a:r>
            <a:rPr lang="en-AU" sz="1200" b="0" i="0" u="none" strike="noStrike" baseline="0">
              <a:solidFill>
                <a:srgbClr val="000000"/>
              </a:solidFill>
              <a:latin typeface="Arial"/>
              <a:cs typeface="Arial"/>
            </a:rPr>
            <a:t>Adult Equivalents (AEs) for dry cattle are based on relativity to a standard weight of beast carried for 12 months.  One adult equivalent (AE) can be thought of as the amount of feed consumed in 12 months by a non-lactating animal of average weight 450 kg. Therefore, if average feed consumption is 2.2% of bodyweight, this would be equivalent to approx 3,650 kg dry matter per year for one AE.</a:t>
          </a:r>
        </a:p>
      </xdr:txBody>
    </xdr:sp>
    <xdr:clientData/>
  </xdr:twoCellAnchor>
  <xdr:twoCellAnchor>
    <xdr:from>
      <xdr:col>18</xdr:col>
      <xdr:colOff>441960</xdr:colOff>
      <xdr:row>0</xdr:row>
      <xdr:rowOff>0</xdr:rowOff>
    </xdr:from>
    <xdr:to>
      <xdr:col>20</xdr:col>
      <xdr:colOff>662940</xdr:colOff>
      <xdr:row>0</xdr:row>
      <xdr:rowOff>0</xdr:rowOff>
    </xdr:to>
    <xdr:sp macro="" textlink="">
      <xdr:nvSpPr>
        <xdr:cNvPr id="17447" name="AutoShape 39">
          <a:extLst>
            <a:ext uri="{FF2B5EF4-FFF2-40B4-BE49-F238E27FC236}">
              <a16:creationId xmlns:a16="http://schemas.microsoft.com/office/drawing/2014/main" id="{00000000-0008-0000-0D00-000027440000}"/>
            </a:ext>
          </a:extLst>
        </xdr:cNvPr>
        <xdr:cNvSpPr>
          <a:spLocks noChangeArrowheads="1"/>
        </xdr:cNvSpPr>
      </xdr:nvSpPr>
      <xdr:spPr bwMode="auto">
        <a:xfrm>
          <a:off x="33268920" y="0"/>
          <a:ext cx="3238500" cy="0"/>
        </a:xfrm>
        <a:prstGeom prst="leftArrow">
          <a:avLst>
            <a:gd name="adj1" fmla="val 50000"/>
            <a:gd name="adj2" fmla="val -2147483648"/>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24</xdr:col>
      <xdr:colOff>144780</xdr:colOff>
      <xdr:row>0</xdr:row>
      <xdr:rowOff>0</xdr:rowOff>
    </xdr:from>
    <xdr:to>
      <xdr:col>24</xdr:col>
      <xdr:colOff>2606040</xdr:colOff>
      <xdr:row>0</xdr:row>
      <xdr:rowOff>0</xdr:rowOff>
    </xdr:to>
    <xdr:sp macro="" textlink="">
      <xdr:nvSpPr>
        <xdr:cNvPr id="17448" name="AutoShape 40">
          <a:extLst>
            <a:ext uri="{FF2B5EF4-FFF2-40B4-BE49-F238E27FC236}">
              <a16:creationId xmlns:a16="http://schemas.microsoft.com/office/drawing/2014/main" id="{00000000-0008-0000-0D00-000028440000}"/>
            </a:ext>
          </a:extLst>
        </xdr:cNvPr>
        <xdr:cNvSpPr>
          <a:spLocks noChangeArrowheads="1"/>
        </xdr:cNvSpPr>
      </xdr:nvSpPr>
      <xdr:spPr bwMode="auto">
        <a:xfrm flipH="1">
          <a:off x="40789860" y="0"/>
          <a:ext cx="2461260" cy="0"/>
        </a:xfrm>
        <a:prstGeom prst="leftArrow">
          <a:avLst>
            <a:gd name="adj1" fmla="val 50000"/>
            <a:gd name="adj2" fmla="val -2147483648"/>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18</xdr:col>
      <xdr:colOff>441960</xdr:colOff>
      <xdr:row>0</xdr:row>
      <xdr:rowOff>0</xdr:rowOff>
    </xdr:from>
    <xdr:to>
      <xdr:col>20</xdr:col>
      <xdr:colOff>662940</xdr:colOff>
      <xdr:row>0</xdr:row>
      <xdr:rowOff>0</xdr:rowOff>
    </xdr:to>
    <xdr:sp macro="" textlink="">
      <xdr:nvSpPr>
        <xdr:cNvPr id="17449" name="AutoShape 41">
          <a:extLst>
            <a:ext uri="{FF2B5EF4-FFF2-40B4-BE49-F238E27FC236}">
              <a16:creationId xmlns:a16="http://schemas.microsoft.com/office/drawing/2014/main" id="{00000000-0008-0000-0D00-000029440000}"/>
            </a:ext>
          </a:extLst>
        </xdr:cNvPr>
        <xdr:cNvSpPr>
          <a:spLocks noChangeArrowheads="1"/>
        </xdr:cNvSpPr>
      </xdr:nvSpPr>
      <xdr:spPr bwMode="auto">
        <a:xfrm>
          <a:off x="33268920" y="0"/>
          <a:ext cx="3238500" cy="0"/>
        </a:xfrm>
        <a:prstGeom prst="leftArrow">
          <a:avLst>
            <a:gd name="adj1" fmla="val 50000"/>
            <a:gd name="adj2" fmla="val -2147483648"/>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24</xdr:col>
      <xdr:colOff>144780</xdr:colOff>
      <xdr:row>0</xdr:row>
      <xdr:rowOff>0</xdr:rowOff>
    </xdr:from>
    <xdr:to>
      <xdr:col>24</xdr:col>
      <xdr:colOff>2606040</xdr:colOff>
      <xdr:row>0</xdr:row>
      <xdr:rowOff>0</xdr:rowOff>
    </xdr:to>
    <xdr:sp macro="" textlink="">
      <xdr:nvSpPr>
        <xdr:cNvPr id="17450" name="AutoShape 42">
          <a:extLst>
            <a:ext uri="{FF2B5EF4-FFF2-40B4-BE49-F238E27FC236}">
              <a16:creationId xmlns:a16="http://schemas.microsoft.com/office/drawing/2014/main" id="{00000000-0008-0000-0D00-00002A440000}"/>
            </a:ext>
          </a:extLst>
        </xdr:cNvPr>
        <xdr:cNvSpPr>
          <a:spLocks noChangeArrowheads="1"/>
        </xdr:cNvSpPr>
      </xdr:nvSpPr>
      <xdr:spPr bwMode="auto">
        <a:xfrm flipH="1">
          <a:off x="40789860" y="0"/>
          <a:ext cx="2461260" cy="0"/>
        </a:xfrm>
        <a:prstGeom prst="leftArrow">
          <a:avLst>
            <a:gd name="adj1" fmla="val 50000"/>
            <a:gd name="adj2" fmla="val -2147483648"/>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106680</xdr:colOff>
      <xdr:row>0</xdr:row>
      <xdr:rowOff>0</xdr:rowOff>
    </xdr:from>
    <xdr:to>
      <xdr:col>9</xdr:col>
      <xdr:colOff>1043940</xdr:colOff>
      <xdr:row>0</xdr:row>
      <xdr:rowOff>0</xdr:rowOff>
    </xdr:to>
    <xdr:sp macro="" textlink="">
      <xdr:nvSpPr>
        <xdr:cNvPr id="17451" name="TextBox 3">
          <a:extLst>
            <a:ext uri="{FF2B5EF4-FFF2-40B4-BE49-F238E27FC236}">
              <a16:creationId xmlns:a16="http://schemas.microsoft.com/office/drawing/2014/main" id="{00000000-0008-0000-0D00-00002B440000}"/>
            </a:ext>
          </a:extLst>
        </xdr:cNvPr>
        <xdr:cNvSpPr txBox="1">
          <a:spLocks noChangeArrowheads="1"/>
        </xdr:cNvSpPr>
      </xdr:nvSpPr>
      <xdr:spPr bwMode="auto">
        <a:xfrm>
          <a:off x="9707880" y="0"/>
          <a:ext cx="9654540" cy="0"/>
        </a:xfrm>
        <a:prstGeom prst="rect">
          <a:avLst/>
        </a:prstGeom>
        <a:solidFill>
          <a:srgbClr val="EEECE1"/>
        </a:solidFill>
        <a:ln w="9525">
          <a:solidFill>
            <a:srgbClr val="000000"/>
          </a:solidFill>
          <a:miter lim="800000"/>
          <a:headEnd/>
          <a:tailEnd/>
        </a:ln>
      </xdr:spPr>
      <xdr:txBody>
        <a:bodyPr vertOverflow="clip" wrap="square" lIns="27432" tIns="18288" rIns="0" bIns="0" anchor="t"/>
        <a:lstStyle/>
        <a:p>
          <a:pPr algn="l" rtl="0">
            <a:defRPr sz="1000"/>
          </a:pPr>
          <a:r>
            <a:rPr lang="en-AU" sz="1200" b="0" i="0" u="none" strike="noStrike" baseline="0">
              <a:solidFill>
                <a:srgbClr val="000000"/>
              </a:solidFill>
              <a:latin typeface="Calibri"/>
              <a:cs typeface="Calibri"/>
            </a:rPr>
            <a:t>Please ensure that the values per head entered here reflect the  average value of the stock in the paddock at calving, not the market value when selling. The values you enter should reflect something along the lines of the values you might get in a "Clearout Sale".</a:t>
          </a:r>
        </a:p>
        <a:p>
          <a:pPr algn="l" rtl="0">
            <a:defRPr sz="1000"/>
          </a:pPr>
          <a:r>
            <a:rPr lang="en-AU" sz="1200" b="0" i="0" u="none" strike="noStrike" baseline="0">
              <a:solidFill>
                <a:srgbClr val="000000"/>
              </a:solidFill>
              <a:latin typeface="Calibri"/>
              <a:cs typeface="Calibri"/>
            </a:rPr>
            <a:t>These values are not used in this analysis to calculate the opportunity cost of livestock capital. Only the interest payable on the average annual livestock purchases is counted to allow comparison with other forages.  Please change the formula in D171 if all livestock capital is to be accounted for.</a:t>
          </a:r>
        </a:p>
      </xdr:txBody>
    </xdr:sp>
    <xdr:clientData/>
  </xdr:twoCellAnchor>
  <xdr:twoCellAnchor>
    <xdr:from>
      <xdr:col>18</xdr:col>
      <xdr:colOff>441960</xdr:colOff>
      <xdr:row>0</xdr:row>
      <xdr:rowOff>0</xdr:rowOff>
    </xdr:from>
    <xdr:to>
      <xdr:col>20</xdr:col>
      <xdr:colOff>662940</xdr:colOff>
      <xdr:row>0</xdr:row>
      <xdr:rowOff>0</xdr:rowOff>
    </xdr:to>
    <xdr:sp macro="" textlink="">
      <xdr:nvSpPr>
        <xdr:cNvPr id="17452" name="AutoShape 44">
          <a:extLst>
            <a:ext uri="{FF2B5EF4-FFF2-40B4-BE49-F238E27FC236}">
              <a16:creationId xmlns:a16="http://schemas.microsoft.com/office/drawing/2014/main" id="{00000000-0008-0000-0D00-00002C440000}"/>
            </a:ext>
          </a:extLst>
        </xdr:cNvPr>
        <xdr:cNvSpPr>
          <a:spLocks noChangeArrowheads="1"/>
        </xdr:cNvSpPr>
      </xdr:nvSpPr>
      <xdr:spPr bwMode="auto">
        <a:xfrm>
          <a:off x="33268920" y="0"/>
          <a:ext cx="3238500" cy="0"/>
        </a:xfrm>
        <a:prstGeom prst="leftArrow">
          <a:avLst>
            <a:gd name="adj1" fmla="val 50000"/>
            <a:gd name="adj2" fmla="val -2147483648"/>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24</xdr:col>
      <xdr:colOff>144780</xdr:colOff>
      <xdr:row>0</xdr:row>
      <xdr:rowOff>0</xdr:rowOff>
    </xdr:from>
    <xdr:to>
      <xdr:col>24</xdr:col>
      <xdr:colOff>2606040</xdr:colOff>
      <xdr:row>0</xdr:row>
      <xdr:rowOff>0</xdr:rowOff>
    </xdr:to>
    <xdr:sp macro="" textlink="">
      <xdr:nvSpPr>
        <xdr:cNvPr id="17453" name="AutoShape 45">
          <a:extLst>
            <a:ext uri="{FF2B5EF4-FFF2-40B4-BE49-F238E27FC236}">
              <a16:creationId xmlns:a16="http://schemas.microsoft.com/office/drawing/2014/main" id="{00000000-0008-0000-0D00-00002D440000}"/>
            </a:ext>
          </a:extLst>
        </xdr:cNvPr>
        <xdr:cNvSpPr>
          <a:spLocks noChangeArrowheads="1"/>
        </xdr:cNvSpPr>
      </xdr:nvSpPr>
      <xdr:spPr bwMode="auto">
        <a:xfrm flipH="1">
          <a:off x="40789860" y="0"/>
          <a:ext cx="2461260" cy="0"/>
        </a:xfrm>
        <a:prstGeom prst="leftArrow">
          <a:avLst>
            <a:gd name="adj1" fmla="val 50000"/>
            <a:gd name="adj2" fmla="val -2147483648"/>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22860</xdr:colOff>
      <xdr:row>0</xdr:row>
      <xdr:rowOff>0</xdr:rowOff>
    </xdr:from>
    <xdr:to>
      <xdr:col>10</xdr:col>
      <xdr:colOff>762000</xdr:colOff>
      <xdr:row>0</xdr:row>
      <xdr:rowOff>0</xdr:rowOff>
    </xdr:to>
    <xdr:sp macro="" textlink="">
      <xdr:nvSpPr>
        <xdr:cNvPr id="17454" name="Text Box 46">
          <a:extLst>
            <a:ext uri="{FF2B5EF4-FFF2-40B4-BE49-F238E27FC236}">
              <a16:creationId xmlns:a16="http://schemas.microsoft.com/office/drawing/2014/main" id="{00000000-0008-0000-0D00-00002E440000}"/>
            </a:ext>
          </a:extLst>
        </xdr:cNvPr>
        <xdr:cNvSpPr txBox="1">
          <a:spLocks noChangeArrowheads="1"/>
        </xdr:cNvSpPr>
      </xdr:nvSpPr>
      <xdr:spPr bwMode="auto">
        <a:xfrm>
          <a:off x="9624060" y="0"/>
          <a:ext cx="11452860" cy="0"/>
        </a:xfrm>
        <a:prstGeom prst="rect">
          <a:avLst/>
        </a:prstGeom>
        <a:solidFill>
          <a:srgbClr val="EAEAEA"/>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en-AU" sz="1200" b="0" i="0" u="none" strike="noStrike" baseline="0">
              <a:solidFill>
                <a:srgbClr val="000000"/>
              </a:solidFill>
              <a:latin typeface="Arial"/>
              <a:cs typeface="Arial"/>
            </a:rPr>
            <a:t>Note:</a:t>
          </a:r>
        </a:p>
        <a:p>
          <a:pPr algn="l" rtl="0">
            <a:defRPr sz="1000"/>
          </a:pPr>
          <a:r>
            <a:rPr lang="en-AU" sz="1200" b="0" i="0" u="none" strike="noStrike" baseline="0">
              <a:solidFill>
                <a:srgbClr val="000000"/>
              </a:solidFill>
              <a:latin typeface="Arial"/>
              <a:cs typeface="Arial"/>
            </a:rPr>
            <a:t>Adult Equivalents (AEs) for dry cattle are based on relativity to a standard weight of beast carried for 12 months.  One adult equivalent (AE) can be thought of as the amount of feed consumed in 12 months by a non-lactating animal of average weight 450 kg. Therefore, if average feed consumption is 2.2% of bodyweight, this would be equivalent to approx 3,650 kg dry matter per year for one AE.</a:t>
          </a:r>
        </a:p>
      </xdr:txBody>
    </xdr:sp>
    <xdr:clientData/>
  </xdr:twoCellAnchor>
  <xdr:twoCellAnchor>
    <xdr:from>
      <xdr:col>18</xdr:col>
      <xdr:colOff>441960</xdr:colOff>
      <xdr:row>102</xdr:row>
      <xdr:rowOff>167640</xdr:rowOff>
    </xdr:from>
    <xdr:to>
      <xdr:col>20</xdr:col>
      <xdr:colOff>662940</xdr:colOff>
      <xdr:row>104</xdr:row>
      <xdr:rowOff>68580</xdr:rowOff>
    </xdr:to>
    <xdr:sp macro="" textlink="">
      <xdr:nvSpPr>
        <xdr:cNvPr id="17455" name="AutoShape 47">
          <a:extLst>
            <a:ext uri="{FF2B5EF4-FFF2-40B4-BE49-F238E27FC236}">
              <a16:creationId xmlns:a16="http://schemas.microsoft.com/office/drawing/2014/main" id="{00000000-0008-0000-0D00-00002F440000}"/>
            </a:ext>
          </a:extLst>
        </xdr:cNvPr>
        <xdr:cNvSpPr>
          <a:spLocks noChangeArrowheads="1"/>
        </xdr:cNvSpPr>
      </xdr:nvSpPr>
      <xdr:spPr bwMode="auto">
        <a:xfrm>
          <a:off x="33268920" y="23644860"/>
          <a:ext cx="3238500" cy="281940"/>
        </a:xfrm>
        <a:prstGeom prst="leftArrow">
          <a:avLst>
            <a:gd name="adj1" fmla="val 50000"/>
            <a:gd name="adj2" fmla="val 287162"/>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24</xdr:col>
      <xdr:colOff>144780</xdr:colOff>
      <xdr:row>103</xdr:row>
      <xdr:rowOff>68580</xdr:rowOff>
    </xdr:from>
    <xdr:to>
      <xdr:col>24</xdr:col>
      <xdr:colOff>2598420</xdr:colOff>
      <xdr:row>104</xdr:row>
      <xdr:rowOff>182880</xdr:rowOff>
    </xdr:to>
    <xdr:sp macro="" textlink="">
      <xdr:nvSpPr>
        <xdr:cNvPr id="17456" name="AutoShape 48">
          <a:extLst>
            <a:ext uri="{FF2B5EF4-FFF2-40B4-BE49-F238E27FC236}">
              <a16:creationId xmlns:a16="http://schemas.microsoft.com/office/drawing/2014/main" id="{00000000-0008-0000-0D00-000030440000}"/>
            </a:ext>
          </a:extLst>
        </xdr:cNvPr>
        <xdr:cNvSpPr>
          <a:spLocks noChangeArrowheads="1"/>
        </xdr:cNvSpPr>
      </xdr:nvSpPr>
      <xdr:spPr bwMode="auto">
        <a:xfrm flipH="1">
          <a:off x="40789860" y="23736300"/>
          <a:ext cx="2453640" cy="304800"/>
        </a:xfrm>
        <a:prstGeom prst="leftArrow">
          <a:avLst>
            <a:gd name="adj1" fmla="val 50000"/>
            <a:gd name="adj2" fmla="val 201250"/>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22860</xdr:colOff>
      <xdr:row>176</xdr:row>
      <xdr:rowOff>160020</xdr:rowOff>
    </xdr:from>
    <xdr:to>
      <xdr:col>11</xdr:col>
      <xdr:colOff>762000</xdr:colOff>
      <xdr:row>180</xdr:row>
      <xdr:rowOff>99060</xdr:rowOff>
    </xdr:to>
    <xdr:sp macro="" textlink="">
      <xdr:nvSpPr>
        <xdr:cNvPr id="17457" name="Text Box 49">
          <a:extLst>
            <a:ext uri="{FF2B5EF4-FFF2-40B4-BE49-F238E27FC236}">
              <a16:creationId xmlns:a16="http://schemas.microsoft.com/office/drawing/2014/main" id="{00000000-0008-0000-0D00-000031440000}"/>
            </a:ext>
          </a:extLst>
        </xdr:cNvPr>
        <xdr:cNvSpPr txBox="1">
          <a:spLocks noChangeArrowheads="1"/>
        </xdr:cNvSpPr>
      </xdr:nvSpPr>
      <xdr:spPr bwMode="auto">
        <a:xfrm>
          <a:off x="12138660" y="38183820"/>
          <a:ext cx="10767060" cy="701040"/>
        </a:xfrm>
        <a:prstGeom prst="rect">
          <a:avLst/>
        </a:prstGeom>
        <a:solidFill>
          <a:srgbClr val="EAEAEA"/>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en-AU" sz="1200" b="0" i="0" u="none" strike="noStrike" baseline="0">
              <a:solidFill>
                <a:srgbClr val="000000"/>
              </a:solidFill>
              <a:latin typeface="Arial"/>
              <a:cs typeface="Arial"/>
            </a:rPr>
            <a:t>Note:</a:t>
          </a:r>
        </a:p>
        <a:p>
          <a:pPr algn="l" rtl="0">
            <a:defRPr sz="1000"/>
          </a:pPr>
          <a:r>
            <a:rPr lang="en-AU" sz="1200" b="0" i="0" u="none" strike="noStrike" baseline="0">
              <a:solidFill>
                <a:srgbClr val="000000"/>
              </a:solidFill>
              <a:latin typeface="Arial"/>
              <a:cs typeface="Arial"/>
            </a:rPr>
            <a:t>Adult Equivalents (AEs) for dry cattle are based on relativity to a standard weight of beast carried for 12 months.  One adult equivalent (AE) can be thought of as the amount of feed consumed in 12 months by a non-lactating animal of average weight 450 kg. Therefore, if average feed consumption is 2.2% of bodyweight, this would be equivalent to approx 3,650 kg dry matter per year for one AE.</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18</xdr:col>
      <xdr:colOff>441960</xdr:colOff>
      <xdr:row>0</xdr:row>
      <xdr:rowOff>0</xdr:rowOff>
    </xdr:from>
    <xdr:to>
      <xdr:col>20</xdr:col>
      <xdr:colOff>662940</xdr:colOff>
      <xdr:row>0</xdr:row>
      <xdr:rowOff>0</xdr:rowOff>
    </xdr:to>
    <xdr:sp macro="" textlink="">
      <xdr:nvSpPr>
        <xdr:cNvPr id="18433" name="AutoShape 1">
          <a:extLst>
            <a:ext uri="{FF2B5EF4-FFF2-40B4-BE49-F238E27FC236}">
              <a16:creationId xmlns:a16="http://schemas.microsoft.com/office/drawing/2014/main" id="{00000000-0008-0000-0E00-000001480000}"/>
            </a:ext>
          </a:extLst>
        </xdr:cNvPr>
        <xdr:cNvSpPr>
          <a:spLocks noChangeArrowheads="1"/>
        </xdr:cNvSpPr>
      </xdr:nvSpPr>
      <xdr:spPr bwMode="auto">
        <a:xfrm>
          <a:off x="33268920" y="0"/>
          <a:ext cx="3238500" cy="0"/>
        </a:xfrm>
        <a:prstGeom prst="leftArrow">
          <a:avLst>
            <a:gd name="adj1" fmla="val 50000"/>
            <a:gd name="adj2" fmla="val -2147483648"/>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24</xdr:col>
      <xdr:colOff>144780</xdr:colOff>
      <xdr:row>0</xdr:row>
      <xdr:rowOff>0</xdr:rowOff>
    </xdr:from>
    <xdr:to>
      <xdr:col>24</xdr:col>
      <xdr:colOff>2606040</xdr:colOff>
      <xdr:row>0</xdr:row>
      <xdr:rowOff>0</xdr:rowOff>
    </xdr:to>
    <xdr:sp macro="" textlink="">
      <xdr:nvSpPr>
        <xdr:cNvPr id="18434" name="AutoShape 2">
          <a:extLst>
            <a:ext uri="{FF2B5EF4-FFF2-40B4-BE49-F238E27FC236}">
              <a16:creationId xmlns:a16="http://schemas.microsoft.com/office/drawing/2014/main" id="{00000000-0008-0000-0E00-000002480000}"/>
            </a:ext>
          </a:extLst>
        </xdr:cNvPr>
        <xdr:cNvSpPr>
          <a:spLocks noChangeArrowheads="1"/>
        </xdr:cNvSpPr>
      </xdr:nvSpPr>
      <xdr:spPr bwMode="auto">
        <a:xfrm flipH="1">
          <a:off x="40789860" y="0"/>
          <a:ext cx="2461260" cy="0"/>
        </a:xfrm>
        <a:prstGeom prst="leftArrow">
          <a:avLst>
            <a:gd name="adj1" fmla="val 50000"/>
            <a:gd name="adj2" fmla="val -2147483648"/>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18</xdr:col>
      <xdr:colOff>441960</xdr:colOff>
      <xdr:row>0</xdr:row>
      <xdr:rowOff>0</xdr:rowOff>
    </xdr:from>
    <xdr:to>
      <xdr:col>20</xdr:col>
      <xdr:colOff>662940</xdr:colOff>
      <xdr:row>0</xdr:row>
      <xdr:rowOff>0</xdr:rowOff>
    </xdr:to>
    <xdr:sp macro="" textlink="">
      <xdr:nvSpPr>
        <xdr:cNvPr id="18435" name="AutoShape 3">
          <a:extLst>
            <a:ext uri="{FF2B5EF4-FFF2-40B4-BE49-F238E27FC236}">
              <a16:creationId xmlns:a16="http://schemas.microsoft.com/office/drawing/2014/main" id="{00000000-0008-0000-0E00-000003480000}"/>
            </a:ext>
          </a:extLst>
        </xdr:cNvPr>
        <xdr:cNvSpPr>
          <a:spLocks noChangeArrowheads="1"/>
        </xdr:cNvSpPr>
      </xdr:nvSpPr>
      <xdr:spPr bwMode="auto">
        <a:xfrm>
          <a:off x="33268920" y="0"/>
          <a:ext cx="3238500" cy="0"/>
        </a:xfrm>
        <a:prstGeom prst="leftArrow">
          <a:avLst>
            <a:gd name="adj1" fmla="val 50000"/>
            <a:gd name="adj2" fmla="val -2147483648"/>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24</xdr:col>
      <xdr:colOff>144780</xdr:colOff>
      <xdr:row>0</xdr:row>
      <xdr:rowOff>0</xdr:rowOff>
    </xdr:from>
    <xdr:to>
      <xdr:col>24</xdr:col>
      <xdr:colOff>2606040</xdr:colOff>
      <xdr:row>0</xdr:row>
      <xdr:rowOff>0</xdr:rowOff>
    </xdr:to>
    <xdr:sp macro="" textlink="">
      <xdr:nvSpPr>
        <xdr:cNvPr id="18436" name="AutoShape 4">
          <a:extLst>
            <a:ext uri="{FF2B5EF4-FFF2-40B4-BE49-F238E27FC236}">
              <a16:creationId xmlns:a16="http://schemas.microsoft.com/office/drawing/2014/main" id="{00000000-0008-0000-0E00-000004480000}"/>
            </a:ext>
          </a:extLst>
        </xdr:cNvPr>
        <xdr:cNvSpPr>
          <a:spLocks noChangeArrowheads="1"/>
        </xdr:cNvSpPr>
      </xdr:nvSpPr>
      <xdr:spPr bwMode="auto">
        <a:xfrm flipH="1">
          <a:off x="40789860" y="0"/>
          <a:ext cx="2461260" cy="0"/>
        </a:xfrm>
        <a:prstGeom prst="leftArrow">
          <a:avLst>
            <a:gd name="adj1" fmla="val 50000"/>
            <a:gd name="adj2" fmla="val -2147483648"/>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106680</xdr:colOff>
      <xdr:row>0</xdr:row>
      <xdr:rowOff>0</xdr:rowOff>
    </xdr:from>
    <xdr:to>
      <xdr:col>9</xdr:col>
      <xdr:colOff>1043940</xdr:colOff>
      <xdr:row>0</xdr:row>
      <xdr:rowOff>0</xdr:rowOff>
    </xdr:to>
    <xdr:sp macro="" textlink="">
      <xdr:nvSpPr>
        <xdr:cNvPr id="18437" name="TextBox 3">
          <a:extLst>
            <a:ext uri="{FF2B5EF4-FFF2-40B4-BE49-F238E27FC236}">
              <a16:creationId xmlns:a16="http://schemas.microsoft.com/office/drawing/2014/main" id="{00000000-0008-0000-0E00-000005480000}"/>
            </a:ext>
          </a:extLst>
        </xdr:cNvPr>
        <xdr:cNvSpPr txBox="1">
          <a:spLocks noChangeArrowheads="1"/>
        </xdr:cNvSpPr>
      </xdr:nvSpPr>
      <xdr:spPr bwMode="auto">
        <a:xfrm>
          <a:off x="9707880" y="0"/>
          <a:ext cx="9654540" cy="0"/>
        </a:xfrm>
        <a:prstGeom prst="rect">
          <a:avLst/>
        </a:prstGeom>
        <a:solidFill>
          <a:srgbClr val="EEECE1"/>
        </a:solidFill>
        <a:ln w="9525">
          <a:solidFill>
            <a:srgbClr val="000000"/>
          </a:solidFill>
          <a:miter lim="800000"/>
          <a:headEnd/>
          <a:tailEnd/>
        </a:ln>
      </xdr:spPr>
      <xdr:txBody>
        <a:bodyPr vertOverflow="clip" wrap="square" lIns="27432" tIns="18288" rIns="0" bIns="0" anchor="t"/>
        <a:lstStyle/>
        <a:p>
          <a:pPr algn="l" rtl="0">
            <a:defRPr sz="1000"/>
          </a:pPr>
          <a:r>
            <a:rPr lang="en-AU" sz="1200" b="0" i="0" u="none" strike="noStrike" baseline="0">
              <a:solidFill>
                <a:srgbClr val="000000"/>
              </a:solidFill>
              <a:latin typeface="Calibri"/>
              <a:cs typeface="Calibri"/>
            </a:rPr>
            <a:t>Please ensure that the values per head entered here reflect the  average value of the stock in the paddock at calving, not the market value when selling. The values you enter should reflect something along the lines of the values you might get in a "Clearout Sale".</a:t>
          </a:r>
        </a:p>
        <a:p>
          <a:pPr algn="l" rtl="0">
            <a:defRPr sz="1000"/>
          </a:pPr>
          <a:r>
            <a:rPr lang="en-AU" sz="1200" b="0" i="0" u="none" strike="noStrike" baseline="0">
              <a:solidFill>
                <a:srgbClr val="000000"/>
              </a:solidFill>
              <a:latin typeface="Calibri"/>
              <a:cs typeface="Calibri"/>
            </a:rPr>
            <a:t>These values are not used in this analysis to calculate the opportunity cost of livestock capital. Only the interest payable on the average annual livestock purchases is counted to allow comparison with other forages.  Please change the formula in D171 if all livestock capital is to be accounted for.</a:t>
          </a:r>
        </a:p>
      </xdr:txBody>
    </xdr:sp>
    <xdr:clientData/>
  </xdr:twoCellAnchor>
  <xdr:twoCellAnchor>
    <xdr:from>
      <xdr:col>18</xdr:col>
      <xdr:colOff>441960</xdr:colOff>
      <xdr:row>0</xdr:row>
      <xdr:rowOff>0</xdr:rowOff>
    </xdr:from>
    <xdr:to>
      <xdr:col>20</xdr:col>
      <xdr:colOff>662940</xdr:colOff>
      <xdr:row>0</xdr:row>
      <xdr:rowOff>0</xdr:rowOff>
    </xdr:to>
    <xdr:sp macro="" textlink="">
      <xdr:nvSpPr>
        <xdr:cNvPr id="18438" name="AutoShape 6">
          <a:extLst>
            <a:ext uri="{FF2B5EF4-FFF2-40B4-BE49-F238E27FC236}">
              <a16:creationId xmlns:a16="http://schemas.microsoft.com/office/drawing/2014/main" id="{00000000-0008-0000-0E00-000006480000}"/>
            </a:ext>
          </a:extLst>
        </xdr:cNvPr>
        <xdr:cNvSpPr>
          <a:spLocks noChangeArrowheads="1"/>
        </xdr:cNvSpPr>
      </xdr:nvSpPr>
      <xdr:spPr bwMode="auto">
        <a:xfrm>
          <a:off x="33268920" y="0"/>
          <a:ext cx="3238500" cy="0"/>
        </a:xfrm>
        <a:prstGeom prst="leftArrow">
          <a:avLst>
            <a:gd name="adj1" fmla="val 50000"/>
            <a:gd name="adj2" fmla="val -2147483648"/>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24</xdr:col>
      <xdr:colOff>144780</xdr:colOff>
      <xdr:row>0</xdr:row>
      <xdr:rowOff>0</xdr:rowOff>
    </xdr:from>
    <xdr:to>
      <xdr:col>24</xdr:col>
      <xdr:colOff>2606040</xdr:colOff>
      <xdr:row>0</xdr:row>
      <xdr:rowOff>0</xdr:rowOff>
    </xdr:to>
    <xdr:sp macro="" textlink="">
      <xdr:nvSpPr>
        <xdr:cNvPr id="18439" name="AutoShape 7">
          <a:extLst>
            <a:ext uri="{FF2B5EF4-FFF2-40B4-BE49-F238E27FC236}">
              <a16:creationId xmlns:a16="http://schemas.microsoft.com/office/drawing/2014/main" id="{00000000-0008-0000-0E00-000007480000}"/>
            </a:ext>
          </a:extLst>
        </xdr:cNvPr>
        <xdr:cNvSpPr>
          <a:spLocks noChangeArrowheads="1"/>
        </xdr:cNvSpPr>
      </xdr:nvSpPr>
      <xdr:spPr bwMode="auto">
        <a:xfrm flipH="1">
          <a:off x="40789860" y="0"/>
          <a:ext cx="2461260" cy="0"/>
        </a:xfrm>
        <a:prstGeom prst="leftArrow">
          <a:avLst>
            <a:gd name="adj1" fmla="val 50000"/>
            <a:gd name="adj2" fmla="val -2147483648"/>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22860</xdr:colOff>
      <xdr:row>0</xdr:row>
      <xdr:rowOff>0</xdr:rowOff>
    </xdr:from>
    <xdr:to>
      <xdr:col>10</xdr:col>
      <xdr:colOff>762000</xdr:colOff>
      <xdr:row>0</xdr:row>
      <xdr:rowOff>0</xdr:rowOff>
    </xdr:to>
    <xdr:sp macro="" textlink="">
      <xdr:nvSpPr>
        <xdr:cNvPr id="18440" name="Text Box 8">
          <a:extLst>
            <a:ext uri="{FF2B5EF4-FFF2-40B4-BE49-F238E27FC236}">
              <a16:creationId xmlns:a16="http://schemas.microsoft.com/office/drawing/2014/main" id="{00000000-0008-0000-0E00-000008480000}"/>
            </a:ext>
          </a:extLst>
        </xdr:cNvPr>
        <xdr:cNvSpPr txBox="1">
          <a:spLocks noChangeArrowheads="1"/>
        </xdr:cNvSpPr>
      </xdr:nvSpPr>
      <xdr:spPr bwMode="auto">
        <a:xfrm>
          <a:off x="9624060" y="0"/>
          <a:ext cx="11452860" cy="0"/>
        </a:xfrm>
        <a:prstGeom prst="rect">
          <a:avLst/>
        </a:prstGeom>
        <a:solidFill>
          <a:srgbClr val="EAEAEA"/>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en-AU" sz="1200" b="0" i="0" u="none" strike="noStrike" baseline="0">
              <a:solidFill>
                <a:srgbClr val="000000"/>
              </a:solidFill>
              <a:latin typeface="Arial"/>
              <a:cs typeface="Arial"/>
            </a:rPr>
            <a:t>Note:</a:t>
          </a:r>
        </a:p>
        <a:p>
          <a:pPr algn="l" rtl="0">
            <a:defRPr sz="1000"/>
          </a:pPr>
          <a:r>
            <a:rPr lang="en-AU" sz="1200" b="0" i="0" u="none" strike="noStrike" baseline="0">
              <a:solidFill>
                <a:srgbClr val="000000"/>
              </a:solidFill>
              <a:latin typeface="Arial"/>
              <a:cs typeface="Arial"/>
            </a:rPr>
            <a:t>Adult Equivalents (AEs) for dry cattle are based on relativity to a standard weight of beast carried for 12 months.  One adult equivalent (AE) can be thought of as the amount of feed consumed in 12 months by a non-lactating animal of average weight 450 kg. Therefore, if average feed consumption is 2.2% of bodyweight, this would be equivalent to approx 3,650 kg dry matter per year for one AE.</a:t>
          </a:r>
        </a:p>
      </xdr:txBody>
    </xdr:sp>
    <xdr:clientData/>
  </xdr:twoCellAnchor>
  <xdr:twoCellAnchor>
    <xdr:from>
      <xdr:col>5</xdr:col>
      <xdr:colOff>22860</xdr:colOff>
      <xdr:row>233</xdr:row>
      <xdr:rowOff>160020</xdr:rowOff>
    </xdr:from>
    <xdr:to>
      <xdr:col>10</xdr:col>
      <xdr:colOff>762000</xdr:colOff>
      <xdr:row>237</xdr:row>
      <xdr:rowOff>99060</xdr:rowOff>
    </xdr:to>
    <xdr:sp macro="" textlink="">
      <xdr:nvSpPr>
        <xdr:cNvPr id="18442" name="Text Box 10">
          <a:extLst>
            <a:ext uri="{FF2B5EF4-FFF2-40B4-BE49-F238E27FC236}">
              <a16:creationId xmlns:a16="http://schemas.microsoft.com/office/drawing/2014/main" id="{00000000-0008-0000-0E00-00000A480000}"/>
            </a:ext>
          </a:extLst>
        </xdr:cNvPr>
        <xdr:cNvSpPr txBox="1">
          <a:spLocks noChangeArrowheads="1"/>
        </xdr:cNvSpPr>
      </xdr:nvSpPr>
      <xdr:spPr bwMode="auto">
        <a:xfrm>
          <a:off x="9624060" y="49080420"/>
          <a:ext cx="11452860" cy="701040"/>
        </a:xfrm>
        <a:prstGeom prst="rect">
          <a:avLst/>
        </a:prstGeom>
        <a:solidFill>
          <a:srgbClr val="EAEAEA"/>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en-AU" sz="1200" b="0" i="0" u="none" strike="noStrike" baseline="0">
              <a:solidFill>
                <a:srgbClr val="000000"/>
              </a:solidFill>
              <a:latin typeface="Arial"/>
              <a:cs typeface="Arial"/>
            </a:rPr>
            <a:t>Note:</a:t>
          </a:r>
        </a:p>
        <a:p>
          <a:pPr algn="l" rtl="0">
            <a:defRPr sz="1000"/>
          </a:pPr>
          <a:r>
            <a:rPr lang="en-AU" sz="1200" b="0" i="0" u="none" strike="noStrike" baseline="0">
              <a:solidFill>
                <a:srgbClr val="000000"/>
              </a:solidFill>
              <a:latin typeface="Arial"/>
              <a:cs typeface="Arial"/>
            </a:rPr>
            <a:t>Adult Equivalents (AEs) for dry cattle are based on relativity to a standard weight of beast carried for 12 months.  One adult equivalent (AE) can be thought of as the amount of feed consumed in 12 months by a non-lactating animal of average weight 450 kg. Therefore, if average feed consumption is 2.2% of bodyweight, this would be equivalent to approx 3,650 kg dry matter per year for one AE.</a:t>
          </a:r>
        </a:p>
      </xdr:txBody>
    </xdr:sp>
    <xdr:clientData/>
  </xdr:twoCellAnchor>
  <xdr:twoCellAnchor>
    <xdr:from>
      <xdr:col>18</xdr:col>
      <xdr:colOff>441960</xdr:colOff>
      <xdr:row>147</xdr:row>
      <xdr:rowOff>167640</xdr:rowOff>
    </xdr:from>
    <xdr:to>
      <xdr:col>20</xdr:col>
      <xdr:colOff>662940</xdr:colOff>
      <xdr:row>149</xdr:row>
      <xdr:rowOff>68580</xdr:rowOff>
    </xdr:to>
    <xdr:sp macro="" textlink="">
      <xdr:nvSpPr>
        <xdr:cNvPr id="18443" name="AutoShape 11">
          <a:extLst>
            <a:ext uri="{FF2B5EF4-FFF2-40B4-BE49-F238E27FC236}">
              <a16:creationId xmlns:a16="http://schemas.microsoft.com/office/drawing/2014/main" id="{00000000-0008-0000-0E00-00000B480000}"/>
            </a:ext>
          </a:extLst>
        </xdr:cNvPr>
        <xdr:cNvSpPr>
          <a:spLocks noChangeArrowheads="1"/>
        </xdr:cNvSpPr>
      </xdr:nvSpPr>
      <xdr:spPr bwMode="auto">
        <a:xfrm>
          <a:off x="33268920" y="32529780"/>
          <a:ext cx="3238500" cy="289560"/>
        </a:xfrm>
        <a:prstGeom prst="leftArrow">
          <a:avLst>
            <a:gd name="adj1" fmla="val 50000"/>
            <a:gd name="adj2" fmla="val 279605"/>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24</xdr:col>
      <xdr:colOff>144780</xdr:colOff>
      <xdr:row>148</xdr:row>
      <xdr:rowOff>68580</xdr:rowOff>
    </xdr:from>
    <xdr:to>
      <xdr:col>24</xdr:col>
      <xdr:colOff>2598420</xdr:colOff>
      <xdr:row>149</xdr:row>
      <xdr:rowOff>182880</xdr:rowOff>
    </xdr:to>
    <xdr:sp macro="" textlink="">
      <xdr:nvSpPr>
        <xdr:cNvPr id="18444" name="AutoShape 12">
          <a:extLst>
            <a:ext uri="{FF2B5EF4-FFF2-40B4-BE49-F238E27FC236}">
              <a16:creationId xmlns:a16="http://schemas.microsoft.com/office/drawing/2014/main" id="{00000000-0008-0000-0E00-00000C480000}"/>
            </a:ext>
          </a:extLst>
        </xdr:cNvPr>
        <xdr:cNvSpPr>
          <a:spLocks noChangeArrowheads="1"/>
        </xdr:cNvSpPr>
      </xdr:nvSpPr>
      <xdr:spPr bwMode="auto">
        <a:xfrm flipH="1">
          <a:off x="40789860" y="32628840"/>
          <a:ext cx="2453640" cy="304800"/>
        </a:xfrm>
        <a:prstGeom prst="leftArrow">
          <a:avLst>
            <a:gd name="adj1" fmla="val 50000"/>
            <a:gd name="adj2" fmla="val 201250"/>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18</xdr:col>
      <xdr:colOff>441960</xdr:colOff>
      <xdr:row>0</xdr:row>
      <xdr:rowOff>0</xdr:rowOff>
    </xdr:from>
    <xdr:to>
      <xdr:col>20</xdr:col>
      <xdr:colOff>662940</xdr:colOff>
      <xdr:row>0</xdr:row>
      <xdr:rowOff>0</xdr:rowOff>
    </xdr:to>
    <xdr:sp macro="" textlink="">
      <xdr:nvSpPr>
        <xdr:cNvPr id="18445" name="AutoShape 13">
          <a:extLst>
            <a:ext uri="{FF2B5EF4-FFF2-40B4-BE49-F238E27FC236}">
              <a16:creationId xmlns:a16="http://schemas.microsoft.com/office/drawing/2014/main" id="{00000000-0008-0000-0E00-00000D480000}"/>
            </a:ext>
          </a:extLst>
        </xdr:cNvPr>
        <xdr:cNvSpPr>
          <a:spLocks noChangeArrowheads="1"/>
        </xdr:cNvSpPr>
      </xdr:nvSpPr>
      <xdr:spPr bwMode="auto">
        <a:xfrm>
          <a:off x="33268920" y="0"/>
          <a:ext cx="3238500" cy="0"/>
        </a:xfrm>
        <a:prstGeom prst="leftArrow">
          <a:avLst>
            <a:gd name="adj1" fmla="val 50000"/>
            <a:gd name="adj2" fmla="val -2147483648"/>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24</xdr:col>
      <xdr:colOff>144780</xdr:colOff>
      <xdr:row>0</xdr:row>
      <xdr:rowOff>0</xdr:rowOff>
    </xdr:from>
    <xdr:to>
      <xdr:col>24</xdr:col>
      <xdr:colOff>2606040</xdr:colOff>
      <xdr:row>0</xdr:row>
      <xdr:rowOff>0</xdr:rowOff>
    </xdr:to>
    <xdr:sp macro="" textlink="">
      <xdr:nvSpPr>
        <xdr:cNvPr id="18446" name="AutoShape 14">
          <a:extLst>
            <a:ext uri="{FF2B5EF4-FFF2-40B4-BE49-F238E27FC236}">
              <a16:creationId xmlns:a16="http://schemas.microsoft.com/office/drawing/2014/main" id="{00000000-0008-0000-0E00-00000E480000}"/>
            </a:ext>
          </a:extLst>
        </xdr:cNvPr>
        <xdr:cNvSpPr>
          <a:spLocks noChangeArrowheads="1"/>
        </xdr:cNvSpPr>
      </xdr:nvSpPr>
      <xdr:spPr bwMode="auto">
        <a:xfrm flipH="1">
          <a:off x="40789860" y="0"/>
          <a:ext cx="2461260" cy="0"/>
        </a:xfrm>
        <a:prstGeom prst="leftArrow">
          <a:avLst>
            <a:gd name="adj1" fmla="val 50000"/>
            <a:gd name="adj2" fmla="val -2147483648"/>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18</xdr:col>
      <xdr:colOff>441960</xdr:colOff>
      <xdr:row>0</xdr:row>
      <xdr:rowOff>0</xdr:rowOff>
    </xdr:from>
    <xdr:to>
      <xdr:col>20</xdr:col>
      <xdr:colOff>662940</xdr:colOff>
      <xdr:row>0</xdr:row>
      <xdr:rowOff>0</xdr:rowOff>
    </xdr:to>
    <xdr:sp macro="" textlink="">
      <xdr:nvSpPr>
        <xdr:cNvPr id="18447" name="AutoShape 15">
          <a:extLst>
            <a:ext uri="{FF2B5EF4-FFF2-40B4-BE49-F238E27FC236}">
              <a16:creationId xmlns:a16="http://schemas.microsoft.com/office/drawing/2014/main" id="{00000000-0008-0000-0E00-00000F480000}"/>
            </a:ext>
          </a:extLst>
        </xdr:cNvPr>
        <xdr:cNvSpPr>
          <a:spLocks noChangeArrowheads="1"/>
        </xdr:cNvSpPr>
      </xdr:nvSpPr>
      <xdr:spPr bwMode="auto">
        <a:xfrm>
          <a:off x="33268920" y="0"/>
          <a:ext cx="3238500" cy="0"/>
        </a:xfrm>
        <a:prstGeom prst="leftArrow">
          <a:avLst>
            <a:gd name="adj1" fmla="val 50000"/>
            <a:gd name="adj2" fmla="val -2147483648"/>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24</xdr:col>
      <xdr:colOff>144780</xdr:colOff>
      <xdr:row>0</xdr:row>
      <xdr:rowOff>0</xdr:rowOff>
    </xdr:from>
    <xdr:to>
      <xdr:col>24</xdr:col>
      <xdr:colOff>2606040</xdr:colOff>
      <xdr:row>0</xdr:row>
      <xdr:rowOff>0</xdr:rowOff>
    </xdr:to>
    <xdr:sp macro="" textlink="">
      <xdr:nvSpPr>
        <xdr:cNvPr id="18448" name="AutoShape 16">
          <a:extLst>
            <a:ext uri="{FF2B5EF4-FFF2-40B4-BE49-F238E27FC236}">
              <a16:creationId xmlns:a16="http://schemas.microsoft.com/office/drawing/2014/main" id="{00000000-0008-0000-0E00-000010480000}"/>
            </a:ext>
          </a:extLst>
        </xdr:cNvPr>
        <xdr:cNvSpPr>
          <a:spLocks noChangeArrowheads="1"/>
        </xdr:cNvSpPr>
      </xdr:nvSpPr>
      <xdr:spPr bwMode="auto">
        <a:xfrm flipH="1">
          <a:off x="40789860" y="0"/>
          <a:ext cx="2461260" cy="0"/>
        </a:xfrm>
        <a:prstGeom prst="leftArrow">
          <a:avLst>
            <a:gd name="adj1" fmla="val 50000"/>
            <a:gd name="adj2" fmla="val -2147483648"/>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106680</xdr:colOff>
      <xdr:row>0</xdr:row>
      <xdr:rowOff>0</xdr:rowOff>
    </xdr:from>
    <xdr:to>
      <xdr:col>9</xdr:col>
      <xdr:colOff>1043940</xdr:colOff>
      <xdr:row>0</xdr:row>
      <xdr:rowOff>0</xdr:rowOff>
    </xdr:to>
    <xdr:sp macro="" textlink="">
      <xdr:nvSpPr>
        <xdr:cNvPr id="18449" name="TextBox 3">
          <a:extLst>
            <a:ext uri="{FF2B5EF4-FFF2-40B4-BE49-F238E27FC236}">
              <a16:creationId xmlns:a16="http://schemas.microsoft.com/office/drawing/2014/main" id="{00000000-0008-0000-0E00-000011480000}"/>
            </a:ext>
          </a:extLst>
        </xdr:cNvPr>
        <xdr:cNvSpPr txBox="1">
          <a:spLocks noChangeArrowheads="1"/>
        </xdr:cNvSpPr>
      </xdr:nvSpPr>
      <xdr:spPr bwMode="auto">
        <a:xfrm>
          <a:off x="9707880" y="0"/>
          <a:ext cx="9654540" cy="0"/>
        </a:xfrm>
        <a:prstGeom prst="rect">
          <a:avLst/>
        </a:prstGeom>
        <a:solidFill>
          <a:srgbClr val="EEECE1"/>
        </a:solidFill>
        <a:ln w="9525">
          <a:solidFill>
            <a:srgbClr val="000000"/>
          </a:solidFill>
          <a:miter lim="800000"/>
          <a:headEnd/>
          <a:tailEnd/>
        </a:ln>
      </xdr:spPr>
      <xdr:txBody>
        <a:bodyPr vertOverflow="clip" wrap="square" lIns="27432" tIns="18288" rIns="0" bIns="0" anchor="t"/>
        <a:lstStyle/>
        <a:p>
          <a:pPr algn="l" rtl="0">
            <a:defRPr sz="1000"/>
          </a:pPr>
          <a:r>
            <a:rPr lang="en-AU" sz="1200" b="0" i="0" u="none" strike="noStrike" baseline="0">
              <a:solidFill>
                <a:srgbClr val="000000"/>
              </a:solidFill>
              <a:latin typeface="Calibri"/>
              <a:cs typeface="Calibri"/>
            </a:rPr>
            <a:t>Please ensure that the values per head entered here reflect the  average value of the stock in the paddock at calving, not the market value when selling. The values you enter should reflect something along the lines of the values you might get in a "Clearout Sale".</a:t>
          </a:r>
        </a:p>
        <a:p>
          <a:pPr algn="l" rtl="0">
            <a:defRPr sz="1000"/>
          </a:pPr>
          <a:r>
            <a:rPr lang="en-AU" sz="1200" b="0" i="0" u="none" strike="noStrike" baseline="0">
              <a:solidFill>
                <a:srgbClr val="000000"/>
              </a:solidFill>
              <a:latin typeface="Calibri"/>
              <a:cs typeface="Calibri"/>
            </a:rPr>
            <a:t>These values are not used in this analysis to calculate the opportunity cost of livestock capital. Only the interest payable on the average annual livestock purchases is counted to allow comparison with other forages.  Please change the formula in D171 if all livestock capital is to be accounted for.</a:t>
          </a:r>
        </a:p>
      </xdr:txBody>
    </xdr:sp>
    <xdr:clientData/>
  </xdr:twoCellAnchor>
  <xdr:twoCellAnchor>
    <xdr:from>
      <xdr:col>18</xdr:col>
      <xdr:colOff>441960</xdr:colOff>
      <xdr:row>0</xdr:row>
      <xdr:rowOff>0</xdr:rowOff>
    </xdr:from>
    <xdr:to>
      <xdr:col>20</xdr:col>
      <xdr:colOff>662940</xdr:colOff>
      <xdr:row>0</xdr:row>
      <xdr:rowOff>0</xdr:rowOff>
    </xdr:to>
    <xdr:sp macro="" textlink="">
      <xdr:nvSpPr>
        <xdr:cNvPr id="18450" name="AutoShape 18">
          <a:extLst>
            <a:ext uri="{FF2B5EF4-FFF2-40B4-BE49-F238E27FC236}">
              <a16:creationId xmlns:a16="http://schemas.microsoft.com/office/drawing/2014/main" id="{00000000-0008-0000-0E00-000012480000}"/>
            </a:ext>
          </a:extLst>
        </xdr:cNvPr>
        <xdr:cNvSpPr>
          <a:spLocks noChangeArrowheads="1"/>
        </xdr:cNvSpPr>
      </xdr:nvSpPr>
      <xdr:spPr bwMode="auto">
        <a:xfrm>
          <a:off x="33268920" y="0"/>
          <a:ext cx="3238500" cy="0"/>
        </a:xfrm>
        <a:prstGeom prst="leftArrow">
          <a:avLst>
            <a:gd name="adj1" fmla="val 50000"/>
            <a:gd name="adj2" fmla="val -2147483648"/>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24</xdr:col>
      <xdr:colOff>144780</xdr:colOff>
      <xdr:row>0</xdr:row>
      <xdr:rowOff>0</xdr:rowOff>
    </xdr:from>
    <xdr:to>
      <xdr:col>24</xdr:col>
      <xdr:colOff>2606040</xdr:colOff>
      <xdr:row>0</xdr:row>
      <xdr:rowOff>0</xdr:rowOff>
    </xdr:to>
    <xdr:sp macro="" textlink="">
      <xdr:nvSpPr>
        <xdr:cNvPr id="18451" name="AutoShape 19">
          <a:extLst>
            <a:ext uri="{FF2B5EF4-FFF2-40B4-BE49-F238E27FC236}">
              <a16:creationId xmlns:a16="http://schemas.microsoft.com/office/drawing/2014/main" id="{00000000-0008-0000-0E00-000013480000}"/>
            </a:ext>
          </a:extLst>
        </xdr:cNvPr>
        <xdr:cNvSpPr>
          <a:spLocks noChangeArrowheads="1"/>
        </xdr:cNvSpPr>
      </xdr:nvSpPr>
      <xdr:spPr bwMode="auto">
        <a:xfrm flipH="1">
          <a:off x="40789860" y="0"/>
          <a:ext cx="2461260" cy="0"/>
        </a:xfrm>
        <a:prstGeom prst="leftArrow">
          <a:avLst>
            <a:gd name="adj1" fmla="val 50000"/>
            <a:gd name="adj2" fmla="val -2147483648"/>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22860</xdr:colOff>
      <xdr:row>0</xdr:row>
      <xdr:rowOff>0</xdr:rowOff>
    </xdr:from>
    <xdr:to>
      <xdr:col>10</xdr:col>
      <xdr:colOff>762000</xdr:colOff>
      <xdr:row>0</xdr:row>
      <xdr:rowOff>0</xdr:rowOff>
    </xdr:to>
    <xdr:sp macro="" textlink="">
      <xdr:nvSpPr>
        <xdr:cNvPr id="18452" name="Text Box 20">
          <a:extLst>
            <a:ext uri="{FF2B5EF4-FFF2-40B4-BE49-F238E27FC236}">
              <a16:creationId xmlns:a16="http://schemas.microsoft.com/office/drawing/2014/main" id="{00000000-0008-0000-0E00-000014480000}"/>
            </a:ext>
          </a:extLst>
        </xdr:cNvPr>
        <xdr:cNvSpPr txBox="1">
          <a:spLocks noChangeArrowheads="1"/>
        </xdr:cNvSpPr>
      </xdr:nvSpPr>
      <xdr:spPr bwMode="auto">
        <a:xfrm>
          <a:off x="9624060" y="0"/>
          <a:ext cx="11452860" cy="0"/>
        </a:xfrm>
        <a:prstGeom prst="rect">
          <a:avLst/>
        </a:prstGeom>
        <a:solidFill>
          <a:srgbClr val="EAEAEA"/>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en-AU" sz="1200" b="0" i="0" u="none" strike="noStrike" baseline="0">
              <a:solidFill>
                <a:srgbClr val="000000"/>
              </a:solidFill>
              <a:latin typeface="Arial"/>
              <a:cs typeface="Arial"/>
            </a:rPr>
            <a:t>Note:</a:t>
          </a:r>
        </a:p>
        <a:p>
          <a:pPr algn="l" rtl="0">
            <a:defRPr sz="1000"/>
          </a:pPr>
          <a:r>
            <a:rPr lang="en-AU" sz="1200" b="0" i="0" u="none" strike="noStrike" baseline="0">
              <a:solidFill>
                <a:srgbClr val="000000"/>
              </a:solidFill>
              <a:latin typeface="Arial"/>
              <a:cs typeface="Arial"/>
            </a:rPr>
            <a:t>Adult Equivalents (AEs) for dry cattle are based on relativity to a standard weight of beast carried for 12 months.  One adult equivalent (AE) can be thought of as the amount of feed consumed in 12 months by a non-lactating animal of average weight 450 kg. Therefore, if average feed consumption is 2.2% of bodyweight, this would be equivalent to approx 3,650 kg dry matter per year for one AE.</a:t>
          </a:r>
        </a:p>
      </xdr:txBody>
    </xdr:sp>
    <xdr:clientData/>
  </xdr:twoCellAnchor>
  <xdr:twoCellAnchor>
    <xdr:from>
      <xdr:col>5</xdr:col>
      <xdr:colOff>22860</xdr:colOff>
      <xdr:row>233</xdr:row>
      <xdr:rowOff>160020</xdr:rowOff>
    </xdr:from>
    <xdr:to>
      <xdr:col>10</xdr:col>
      <xdr:colOff>762000</xdr:colOff>
      <xdr:row>237</xdr:row>
      <xdr:rowOff>99060</xdr:rowOff>
    </xdr:to>
    <xdr:sp macro="" textlink="">
      <xdr:nvSpPr>
        <xdr:cNvPr id="18453" name="Text Box 21">
          <a:extLst>
            <a:ext uri="{FF2B5EF4-FFF2-40B4-BE49-F238E27FC236}">
              <a16:creationId xmlns:a16="http://schemas.microsoft.com/office/drawing/2014/main" id="{00000000-0008-0000-0E00-000015480000}"/>
            </a:ext>
          </a:extLst>
        </xdr:cNvPr>
        <xdr:cNvSpPr txBox="1">
          <a:spLocks noChangeArrowheads="1"/>
        </xdr:cNvSpPr>
      </xdr:nvSpPr>
      <xdr:spPr bwMode="auto">
        <a:xfrm>
          <a:off x="9624060" y="49080420"/>
          <a:ext cx="11452860" cy="701040"/>
        </a:xfrm>
        <a:prstGeom prst="rect">
          <a:avLst/>
        </a:prstGeom>
        <a:solidFill>
          <a:srgbClr val="EAEAEA"/>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en-AU" sz="1200" b="0" i="0" u="none" strike="noStrike" baseline="0">
              <a:solidFill>
                <a:srgbClr val="000000"/>
              </a:solidFill>
              <a:latin typeface="Arial"/>
              <a:cs typeface="Arial"/>
            </a:rPr>
            <a:t>Note:</a:t>
          </a:r>
        </a:p>
        <a:p>
          <a:pPr algn="l" rtl="0">
            <a:defRPr sz="1000"/>
          </a:pPr>
          <a:r>
            <a:rPr lang="en-AU" sz="1200" b="0" i="0" u="none" strike="noStrike" baseline="0">
              <a:solidFill>
                <a:srgbClr val="000000"/>
              </a:solidFill>
              <a:latin typeface="Arial"/>
              <a:cs typeface="Arial"/>
            </a:rPr>
            <a:t>Adult Equivalents (AEs) for dry cattle are based on relativity to a standard weight of beast carried for 12 months.  One adult equivalent (AE) can be thought of as the amount of feed consumed in 12 months by a non-lactating animal of average weight 450 kg. Therefore, if average feed consumption is 2.2% of bodyweight, this would be equivalent to approx 3,650 kg dry matter per year for one AE.</a:t>
          </a:r>
        </a:p>
      </xdr:txBody>
    </xdr:sp>
    <xdr:clientData/>
  </xdr:twoCellAnchor>
  <xdr:twoCellAnchor>
    <xdr:from>
      <xdr:col>18</xdr:col>
      <xdr:colOff>441960</xdr:colOff>
      <xdr:row>147</xdr:row>
      <xdr:rowOff>167640</xdr:rowOff>
    </xdr:from>
    <xdr:to>
      <xdr:col>20</xdr:col>
      <xdr:colOff>662940</xdr:colOff>
      <xdr:row>149</xdr:row>
      <xdr:rowOff>68580</xdr:rowOff>
    </xdr:to>
    <xdr:sp macro="" textlink="">
      <xdr:nvSpPr>
        <xdr:cNvPr id="18454" name="AutoShape 22">
          <a:extLst>
            <a:ext uri="{FF2B5EF4-FFF2-40B4-BE49-F238E27FC236}">
              <a16:creationId xmlns:a16="http://schemas.microsoft.com/office/drawing/2014/main" id="{00000000-0008-0000-0E00-000016480000}"/>
            </a:ext>
          </a:extLst>
        </xdr:cNvPr>
        <xdr:cNvSpPr>
          <a:spLocks noChangeArrowheads="1"/>
        </xdr:cNvSpPr>
      </xdr:nvSpPr>
      <xdr:spPr bwMode="auto">
        <a:xfrm>
          <a:off x="33268920" y="32529780"/>
          <a:ext cx="3238500" cy="289560"/>
        </a:xfrm>
        <a:prstGeom prst="leftArrow">
          <a:avLst>
            <a:gd name="adj1" fmla="val 50000"/>
            <a:gd name="adj2" fmla="val 279605"/>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24</xdr:col>
      <xdr:colOff>144780</xdr:colOff>
      <xdr:row>148</xdr:row>
      <xdr:rowOff>68580</xdr:rowOff>
    </xdr:from>
    <xdr:to>
      <xdr:col>24</xdr:col>
      <xdr:colOff>2598420</xdr:colOff>
      <xdr:row>149</xdr:row>
      <xdr:rowOff>182880</xdr:rowOff>
    </xdr:to>
    <xdr:sp macro="" textlink="">
      <xdr:nvSpPr>
        <xdr:cNvPr id="18455" name="AutoShape 23">
          <a:extLst>
            <a:ext uri="{FF2B5EF4-FFF2-40B4-BE49-F238E27FC236}">
              <a16:creationId xmlns:a16="http://schemas.microsoft.com/office/drawing/2014/main" id="{00000000-0008-0000-0E00-000017480000}"/>
            </a:ext>
          </a:extLst>
        </xdr:cNvPr>
        <xdr:cNvSpPr>
          <a:spLocks noChangeArrowheads="1"/>
        </xdr:cNvSpPr>
      </xdr:nvSpPr>
      <xdr:spPr bwMode="auto">
        <a:xfrm flipH="1">
          <a:off x="40789860" y="32628840"/>
          <a:ext cx="2453640" cy="304800"/>
        </a:xfrm>
        <a:prstGeom prst="leftArrow">
          <a:avLst>
            <a:gd name="adj1" fmla="val 50000"/>
            <a:gd name="adj2" fmla="val 201250"/>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18</xdr:col>
      <xdr:colOff>441960</xdr:colOff>
      <xdr:row>0</xdr:row>
      <xdr:rowOff>0</xdr:rowOff>
    </xdr:from>
    <xdr:to>
      <xdr:col>20</xdr:col>
      <xdr:colOff>662940</xdr:colOff>
      <xdr:row>0</xdr:row>
      <xdr:rowOff>0</xdr:rowOff>
    </xdr:to>
    <xdr:sp macro="" textlink="">
      <xdr:nvSpPr>
        <xdr:cNvPr id="18456" name="AutoShape 24">
          <a:extLst>
            <a:ext uri="{FF2B5EF4-FFF2-40B4-BE49-F238E27FC236}">
              <a16:creationId xmlns:a16="http://schemas.microsoft.com/office/drawing/2014/main" id="{00000000-0008-0000-0E00-000018480000}"/>
            </a:ext>
          </a:extLst>
        </xdr:cNvPr>
        <xdr:cNvSpPr>
          <a:spLocks noChangeArrowheads="1"/>
        </xdr:cNvSpPr>
      </xdr:nvSpPr>
      <xdr:spPr bwMode="auto">
        <a:xfrm>
          <a:off x="33268920" y="0"/>
          <a:ext cx="3238500" cy="0"/>
        </a:xfrm>
        <a:prstGeom prst="leftArrow">
          <a:avLst>
            <a:gd name="adj1" fmla="val 50000"/>
            <a:gd name="adj2" fmla="val -2147483648"/>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24</xdr:col>
      <xdr:colOff>144780</xdr:colOff>
      <xdr:row>0</xdr:row>
      <xdr:rowOff>0</xdr:rowOff>
    </xdr:from>
    <xdr:to>
      <xdr:col>24</xdr:col>
      <xdr:colOff>2606040</xdr:colOff>
      <xdr:row>0</xdr:row>
      <xdr:rowOff>0</xdr:rowOff>
    </xdr:to>
    <xdr:sp macro="" textlink="">
      <xdr:nvSpPr>
        <xdr:cNvPr id="18457" name="AutoShape 25">
          <a:extLst>
            <a:ext uri="{FF2B5EF4-FFF2-40B4-BE49-F238E27FC236}">
              <a16:creationId xmlns:a16="http://schemas.microsoft.com/office/drawing/2014/main" id="{00000000-0008-0000-0E00-000019480000}"/>
            </a:ext>
          </a:extLst>
        </xdr:cNvPr>
        <xdr:cNvSpPr>
          <a:spLocks noChangeArrowheads="1"/>
        </xdr:cNvSpPr>
      </xdr:nvSpPr>
      <xdr:spPr bwMode="auto">
        <a:xfrm flipH="1">
          <a:off x="40789860" y="0"/>
          <a:ext cx="2461260" cy="0"/>
        </a:xfrm>
        <a:prstGeom prst="leftArrow">
          <a:avLst>
            <a:gd name="adj1" fmla="val 50000"/>
            <a:gd name="adj2" fmla="val -2147483648"/>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18</xdr:col>
      <xdr:colOff>441960</xdr:colOff>
      <xdr:row>0</xdr:row>
      <xdr:rowOff>0</xdr:rowOff>
    </xdr:from>
    <xdr:to>
      <xdr:col>20</xdr:col>
      <xdr:colOff>662940</xdr:colOff>
      <xdr:row>0</xdr:row>
      <xdr:rowOff>0</xdr:rowOff>
    </xdr:to>
    <xdr:sp macro="" textlink="">
      <xdr:nvSpPr>
        <xdr:cNvPr id="18458" name="AutoShape 26">
          <a:extLst>
            <a:ext uri="{FF2B5EF4-FFF2-40B4-BE49-F238E27FC236}">
              <a16:creationId xmlns:a16="http://schemas.microsoft.com/office/drawing/2014/main" id="{00000000-0008-0000-0E00-00001A480000}"/>
            </a:ext>
          </a:extLst>
        </xdr:cNvPr>
        <xdr:cNvSpPr>
          <a:spLocks noChangeArrowheads="1"/>
        </xdr:cNvSpPr>
      </xdr:nvSpPr>
      <xdr:spPr bwMode="auto">
        <a:xfrm>
          <a:off x="33268920" y="0"/>
          <a:ext cx="3238500" cy="0"/>
        </a:xfrm>
        <a:prstGeom prst="leftArrow">
          <a:avLst>
            <a:gd name="adj1" fmla="val 50000"/>
            <a:gd name="adj2" fmla="val -2147483648"/>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24</xdr:col>
      <xdr:colOff>144780</xdr:colOff>
      <xdr:row>0</xdr:row>
      <xdr:rowOff>0</xdr:rowOff>
    </xdr:from>
    <xdr:to>
      <xdr:col>24</xdr:col>
      <xdr:colOff>2606040</xdr:colOff>
      <xdr:row>0</xdr:row>
      <xdr:rowOff>0</xdr:rowOff>
    </xdr:to>
    <xdr:sp macro="" textlink="">
      <xdr:nvSpPr>
        <xdr:cNvPr id="18459" name="AutoShape 27">
          <a:extLst>
            <a:ext uri="{FF2B5EF4-FFF2-40B4-BE49-F238E27FC236}">
              <a16:creationId xmlns:a16="http://schemas.microsoft.com/office/drawing/2014/main" id="{00000000-0008-0000-0E00-00001B480000}"/>
            </a:ext>
          </a:extLst>
        </xdr:cNvPr>
        <xdr:cNvSpPr>
          <a:spLocks noChangeArrowheads="1"/>
        </xdr:cNvSpPr>
      </xdr:nvSpPr>
      <xdr:spPr bwMode="auto">
        <a:xfrm flipH="1">
          <a:off x="40789860" y="0"/>
          <a:ext cx="2461260" cy="0"/>
        </a:xfrm>
        <a:prstGeom prst="leftArrow">
          <a:avLst>
            <a:gd name="adj1" fmla="val 50000"/>
            <a:gd name="adj2" fmla="val -2147483648"/>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106680</xdr:colOff>
      <xdr:row>0</xdr:row>
      <xdr:rowOff>0</xdr:rowOff>
    </xdr:from>
    <xdr:to>
      <xdr:col>9</xdr:col>
      <xdr:colOff>1043940</xdr:colOff>
      <xdr:row>0</xdr:row>
      <xdr:rowOff>0</xdr:rowOff>
    </xdr:to>
    <xdr:sp macro="" textlink="">
      <xdr:nvSpPr>
        <xdr:cNvPr id="18460" name="TextBox 3">
          <a:extLst>
            <a:ext uri="{FF2B5EF4-FFF2-40B4-BE49-F238E27FC236}">
              <a16:creationId xmlns:a16="http://schemas.microsoft.com/office/drawing/2014/main" id="{00000000-0008-0000-0E00-00001C480000}"/>
            </a:ext>
          </a:extLst>
        </xdr:cNvPr>
        <xdr:cNvSpPr txBox="1">
          <a:spLocks noChangeArrowheads="1"/>
        </xdr:cNvSpPr>
      </xdr:nvSpPr>
      <xdr:spPr bwMode="auto">
        <a:xfrm>
          <a:off x="9707880" y="0"/>
          <a:ext cx="9654540" cy="0"/>
        </a:xfrm>
        <a:prstGeom prst="rect">
          <a:avLst/>
        </a:prstGeom>
        <a:solidFill>
          <a:srgbClr val="EEECE1"/>
        </a:solidFill>
        <a:ln w="9525">
          <a:solidFill>
            <a:srgbClr val="000000"/>
          </a:solidFill>
          <a:miter lim="800000"/>
          <a:headEnd/>
          <a:tailEnd/>
        </a:ln>
      </xdr:spPr>
      <xdr:txBody>
        <a:bodyPr vertOverflow="clip" wrap="square" lIns="27432" tIns="18288" rIns="0" bIns="0" anchor="t"/>
        <a:lstStyle/>
        <a:p>
          <a:pPr algn="l" rtl="0">
            <a:defRPr sz="1000"/>
          </a:pPr>
          <a:r>
            <a:rPr lang="en-AU" sz="1200" b="0" i="0" u="none" strike="noStrike" baseline="0">
              <a:solidFill>
                <a:srgbClr val="000000"/>
              </a:solidFill>
              <a:latin typeface="Calibri"/>
              <a:cs typeface="Calibri"/>
            </a:rPr>
            <a:t>Please ensure that the values per head entered here reflect the  average value of the stock in the paddock at calving, not the market value when selling. The values you enter should reflect something along the lines of the values you might get in a "Clearout Sale".</a:t>
          </a:r>
        </a:p>
        <a:p>
          <a:pPr algn="l" rtl="0">
            <a:defRPr sz="1000"/>
          </a:pPr>
          <a:r>
            <a:rPr lang="en-AU" sz="1200" b="0" i="0" u="none" strike="noStrike" baseline="0">
              <a:solidFill>
                <a:srgbClr val="000000"/>
              </a:solidFill>
              <a:latin typeface="Calibri"/>
              <a:cs typeface="Calibri"/>
            </a:rPr>
            <a:t>These values are not used in this analysis to calculate the opportunity cost of livestock capital. Only the interest payable on the average annual livestock purchases is counted to allow comparison with other forages.  Please change the formula in D171 if all livestock capital is to be accounted for.</a:t>
          </a:r>
        </a:p>
      </xdr:txBody>
    </xdr:sp>
    <xdr:clientData/>
  </xdr:twoCellAnchor>
  <xdr:twoCellAnchor>
    <xdr:from>
      <xdr:col>18</xdr:col>
      <xdr:colOff>441960</xdr:colOff>
      <xdr:row>0</xdr:row>
      <xdr:rowOff>0</xdr:rowOff>
    </xdr:from>
    <xdr:to>
      <xdr:col>20</xdr:col>
      <xdr:colOff>662940</xdr:colOff>
      <xdr:row>0</xdr:row>
      <xdr:rowOff>0</xdr:rowOff>
    </xdr:to>
    <xdr:sp macro="" textlink="">
      <xdr:nvSpPr>
        <xdr:cNvPr id="18461" name="AutoShape 29">
          <a:extLst>
            <a:ext uri="{FF2B5EF4-FFF2-40B4-BE49-F238E27FC236}">
              <a16:creationId xmlns:a16="http://schemas.microsoft.com/office/drawing/2014/main" id="{00000000-0008-0000-0E00-00001D480000}"/>
            </a:ext>
          </a:extLst>
        </xdr:cNvPr>
        <xdr:cNvSpPr>
          <a:spLocks noChangeArrowheads="1"/>
        </xdr:cNvSpPr>
      </xdr:nvSpPr>
      <xdr:spPr bwMode="auto">
        <a:xfrm>
          <a:off x="33268920" y="0"/>
          <a:ext cx="3238500" cy="0"/>
        </a:xfrm>
        <a:prstGeom prst="leftArrow">
          <a:avLst>
            <a:gd name="adj1" fmla="val 50000"/>
            <a:gd name="adj2" fmla="val -2147483648"/>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24</xdr:col>
      <xdr:colOff>144780</xdr:colOff>
      <xdr:row>0</xdr:row>
      <xdr:rowOff>0</xdr:rowOff>
    </xdr:from>
    <xdr:to>
      <xdr:col>24</xdr:col>
      <xdr:colOff>2606040</xdr:colOff>
      <xdr:row>0</xdr:row>
      <xdr:rowOff>0</xdr:rowOff>
    </xdr:to>
    <xdr:sp macro="" textlink="">
      <xdr:nvSpPr>
        <xdr:cNvPr id="18462" name="AutoShape 30">
          <a:extLst>
            <a:ext uri="{FF2B5EF4-FFF2-40B4-BE49-F238E27FC236}">
              <a16:creationId xmlns:a16="http://schemas.microsoft.com/office/drawing/2014/main" id="{00000000-0008-0000-0E00-00001E480000}"/>
            </a:ext>
          </a:extLst>
        </xdr:cNvPr>
        <xdr:cNvSpPr>
          <a:spLocks noChangeArrowheads="1"/>
        </xdr:cNvSpPr>
      </xdr:nvSpPr>
      <xdr:spPr bwMode="auto">
        <a:xfrm flipH="1">
          <a:off x="40789860" y="0"/>
          <a:ext cx="2461260" cy="0"/>
        </a:xfrm>
        <a:prstGeom prst="leftArrow">
          <a:avLst>
            <a:gd name="adj1" fmla="val 50000"/>
            <a:gd name="adj2" fmla="val -2147483648"/>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22860</xdr:colOff>
      <xdr:row>0</xdr:row>
      <xdr:rowOff>0</xdr:rowOff>
    </xdr:from>
    <xdr:to>
      <xdr:col>10</xdr:col>
      <xdr:colOff>762000</xdr:colOff>
      <xdr:row>0</xdr:row>
      <xdr:rowOff>0</xdr:rowOff>
    </xdr:to>
    <xdr:sp macro="" textlink="">
      <xdr:nvSpPr>
        <xdr:cNvPr id="18463" name="Text Box 31">
          <a:extLst>
            <a:ext uri="{FF2B5EF4-FFF2-40B4-BE49-F238E27FC236}">
              <a16:creationId xmlns:a16="http://schemas.microsoft.com/office/drawing/2014/main" id="{00000000-0008-0000-0E00-00001F480000}"/>
            </a:ext>
          </a:extLst>
        </xdr:cNvPr>
        <xdr:cNvSpPr txBox="1">
          <a:spLocks noChangeArrowheads="1"/>
        </xdr:cNvSpPr>
      </xdr:nvSpPr>
      <xdr:spPr bwMode="auto">
        <a:xfrm>
          <a:off x="9624060" y="0"/>
          <a:ext cx="11452860" cy="0"/>
        </a:xfrm>
        <a:prstGeom prst="rect">
          <a:avLst/>
        </a:prstGeom>
        <a:solidFill>
          <a:srgbClr val="EAEAEA"/>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en-AU" sz="1200" b="0" i="0" u="none" strike="noStrike" baseline="0">
              <a:solidFill>
                <a:srgbClr val="000000"/>
              </a:solidFill>
              <a:latin typeface="Arial"/>
              <a:cs typeface="Arial"/>
            </a:rPr>
            <a:t>Note:</a:t>
          </a:r>
        </a:p>
        <a:p>
          <a:pPr algn="l" rtl="0">
            <a:defRPr sz="1000"/>
          </a:pPr>
          <a:r>
            <a:rPr lang="en-AU" sz="1200" b="0" i="0" u="none" strike="noStrike" baseline="0">
              <a:solidFill>
                <a:srgbClr val="000000"/>
              </a:solidFill>
              <a:latin typeface="Arial"/>
              <a:cs typeface="Arial"/>
            </a:rPr>
            <a:t>Adult Equivalents (AEs) for dry cattle are based on relativity to a standard weight of beast carried for 12 months.  One adult equivalent (AE) can be thought of as the amount of feed consumed in 12 months by a non-lactating animal of average weight 450 kg. Therefore, if average feed consumption is 2.2% of bodyweight, this would be equivalent to approx 3,650 kg dry matter per year for one AE.</a:t>
          </a:r>
        </a:p>
      </xdr:txBody>
    </xdr:sp>
    <xdr:clientData/>
  </xdr:twoCellAnchor>
  <xdr:twoCellAnchor>
    <xdr:from>
      <xdr:col>18</xdr:col>
      <xdr:colOff>441960</xdr:colOff>
      <xdr:row>102</xdr:row>
      <xdr:rowOff>167640</xdr:rowOff>
    </xdr:from>
    <xdr:to>
      <xdr:col>20</xdr:col>
      <xdr:colOff>662940</xdr:colOff>
      <xdr:row>104</xdr:row>
      <xdr:rowOff>68580</xdr:rowOff>
    </xdr:to>
    <xdr:sp macro="" textlink="">
      <xdr:nvSpPr>
        <xdr:cNvPr id="18464" name="AutoShape 32">
          <a:extLst>
            <a:ext uri="{FF2B5EF4-FFF2-40B4-BE49-F238E27FC236}">
              <a16:creationId xmlns:a16="http://schemas.microsoft.com/office/drawing/2014/main" id="{00000000-0008-0000-0E00-000020480000}"/>
            </a:ext>
          </a:extLst>
        </xdr:cNvPr>
        <xdr:cNvSpPr>
          <a:spLocks noChangeArrowheads="1"/>
        </xdr:cNvSpPr>
      </xdr:nvSpPr>
      <xdr:spPr bwMode="auto">
        <a:xfrm>
          <a:off x="33268920" y="23644860"/>
          <a:ext cx="3238500" cy="281940"/>
        </a:xfrm>
        <a:prstGeom prst="leftArrow">
          <a:avLst>
            <a:gd name="adj1" fmla="val 50000"/>
            <a:gd name="adj2" fmla="val 287162"/>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24</xdr:col>
      <xdr:colOff>144780</xdr:colOff>
      <xdr:row>103</xdr:row>
      <xdr:rowOff>68580</xdr:rowOff>
    </xdr:from>
    <xdr:to>
      <xdr:col>24</xdr:col>
      <xdr:colOff>2598420</xdr:colOff>
      <xdr:row>104</xdr:row>
      <xdr:rowOff>182880</xdr:rowOff>
    </xdr:to>
    <xdr:sp macro="" textlink="">
      <xdr:nvSpPr>
        <xdr:cNvPr id="18465" name="AutoShape 33">
          <a:extLst>
            <a:ext uri="{FF2B5EF4-FFF2-40B4-BE49-F238E27FC236}">
              <a16:creationId xmlns:a16="http://schemas.microsoft.com/office/drawing/2014/main" id="{00000000-0008-0000-0E00-000021480000}"/>
            </a:ext>
          </a:extLst>
        </xdr:cNvPr>
        <xdr:cNvSpPr>
          <a:spLocks noChangeArrowheads="1"/>
        </xdr:cNvSpPr>
      </xdr:nvSpPr>
      <xdr:spPr bwMode="auto">
        <a:xfrm flipH="1">
          <a:off x="40789860" y="23736300"/>
          <a:ext cx="2453640" cy="304800"/>
        </a:xfrm>
        <a:prstGeom prst="leftArrow">
          <a:avLst>
            <a:gd name="adj1" fmla="val 50000"/>
            <a:gd name="adj2" fmla="val 201250"/>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22860</xdr:colOff>
      <xdr:row>176</xdr:row>
      <xdr:rowOff>160020</xdr:rowOff>
    </xdr:from>
    <xdr:to>
      <xdr:col>11</xdr:col>
      <xdr:colOff>762000</xdr:colOff>
      <xdr:row>180</xdr:row>
      <xdr:rowOff>99060</xdr:rowOff>
    </xdr:to>
    <xdr:sp macro="" textlink="">
      <xdr:nvSpPr>
        <xdr:cNvPr id="18466" name="Text Box 34">
          <a:extLst>
            <a:ext uri="{FF2B5EF4-FFF2-40B4-BE49-F238E27FC236}">
              <a16:creationId xmlns:a16="http://schemas.microsoft.com/office/drawing/2014/main" id="{00000000-0008-0000-0E00-000022480000}"/>
            </a:ext>
          </a:extLst>
        </xdr:cNvPr>
        <xdr:cNvSpPr txBox="1">
          <a:spLocks noChangeArrowheads="1"/>
        </xdr:cNvSpPr>
      </xdr:nvSpPr>
      <xdr:spPr bwMode="auto">
        <a:xfrm>
          <a:off x="12138660" y="38221920"/>
          <a:ext cx="10767060" cy="701040"/>
        </a:xfrm>
        <a:prstGeom prst="rect">
          <a:avLst/>
        </a:prstGeom>
        <a:solidFill>
          <a:srgbClr val="EAEAEA"/>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en-AU" sz="1200" b="0" i="0" u="none" strike="noStrike" baseline="0">
              <a:solidFill>
                <a:srgbClr val="000000"/>
              </a:solidFill>
              <a:latin typeface="Arial"/>
              <a:cs typeface="Arial"/>
            </a:rPr>
            <a:t>Note:</a:t>
          </a:r>
        </a:p>
        <a:p>
          <a:pPr algn="l" rtl="0">
            <a:defRPr sz="1000"/>
          </a:pPr>
          <a:r>
            <a:rPr lang="en-AU" sz="1200" b="0" i="0" u="none" strike="noStrike" baseline="0">
              <a:solidFill>
                <a:srgbClr val="000000"/>
              </a:solidFill>
              <a:latin typeface="Arial"/>
              <a:cs typeface="Arial"/>
            </a:rPr>
            <a:t>Adult Equivalents (AEs) for dry cattle are based on relativity to a standard weight of beast carried for 12 months.  One adult equivalent (AE) can be thought of as the amount of feed consumed in 12 months by a non-lactating animal of average weight 450 kg. Therefore, if average feed consumption is 2.2% of bodyweight, this would be equivalent to approx 3,650 kg dry matter per year for one AE.</a:t>
          </a:r>
        </a:p>
      </xdr:txBody>
    </xdr:sp>
    <xdr:clientData/>
  </xdr:twoCellAnchor>
  <xdr:twoCellAnchor>
    <xdr:from>
      <xdr:col>18</xdr:col>
      <xdr:colOff>441960</xdr:colOff>
      <xdr:row>0</xdr:row>
      <xdr:rowOff>0</xdr:rowOff>
    </xdr:from>
    <xdr:to>
      <xdr:col>20</xdr:col>
      <xdr:colOff>662940</xdr:colOff>
      <xdr:row>0</xdr:row>
      <xdr:rowOff>0</xdr:rowOff>
    </xdr:to>
    <xdr:sp macro="" textlink="">
      <xdr:nvSpPr>
        <xdr:cNvPr id="18467" name="AutoShape 35">
          <a:extLst>
            <a:ext uri="{FF2B5EF4-FFF2-40B4-BE49-F238E27FC236}">
              <a16:creationId xmlns:a16="http://schemas.microsoft.com/office/drawing/2014/main" id="{00000000-0008-0000-0E00-000023480000}"/>
            </a:ext>
          </a:extLst>
        </xdr:cNvPr>
        <xdr:cNvSpPr>
          <a:spLocks noChangeArrowheads="1"/>
        </xdr:cNvSpPr>
      </xdr:nvSpPr>
      <xdr:spPr bwMode="auto">
        <a:xfrm>
          <a:off x="33268920" y="0"/>
          <a:ext cx="3238500" cy="0"/>
        </a:xfrm>
        <a:prstGeom prst="leftArrow">
          <a:avLst>
            <a:gd name="adj1" fmla="val 50000"/>
            <a:gd name="adj2" fmla="val -2147483648"/>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24</xdr:col>
      <xdr:colOff>144780</xdr:colOff>
      <xdr:row>0</xdr:row>
      <xdr:rowOff>0</xdr:rowOff>
    </xdr:from>
    <xdr:to>
      <xdr:col>24</xdr:col>
      <xdr:colOff>2606040</xdr:colOff>
      <xdr:row>0</xdr:row>
      <xdr:rowOff>0</xdr:rowOff>
    </xdr:to>
    <xdr:sp macro="" textlink="">
      <xdr:nvSpPr>
        <xdr:cNvPr id="18468" name="AutoShape 36">
          <a:extLst>
            <a:ext uri="{FF2B5EF4-FFF2-40B4-BE49-F238E27FC236}">
              <a16:creationId xmlns:a16="http://schemas.microsoft.com/office/drawing/2014/main" id="{00000000-0008-0000-0E00-000024480000}"/>
            </a:ext>
          </a:extLst>
        </xdr:cNvPr>
        <xdr:cNvSpPr>
          <a:spLocks noChangeArrowheads="1"/>
        </xdr:cNvSpPr>
      </xdr:nvSpPr>
      <xdr:spPr bwMode="auto">
        <a:xfrm flipH="1">
          <a:off x="40789860" y="0"/>
          <a:ext cx="2461260" cy="0"/>
        </a:xfrm>
        <a:prstGeom prst="leftArrow">
          <a:avLst>
            <a:gd name="adj1" fmla="val 50000"/>
            <a:gd name="adj2" fmla="val -2147483648"/>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18</xdr:col>
      <xdr:colOff>441960</xdr:colOff>
      <xdr:row>0</xdr:row>
      <xdr:rowOff>0</xdr:rowOff>
    </xdr:from>
    <xdr:to>
      <xdr:col>20</xdr:col>
      <xdr:colOff>662940</xdr:colOff>
      <xdr:row>0</xdr:row>
      <xdr:rowOff>0</xdr:rowOff>
    </xdr:to>
    <xdr:sp macro="" textlink="">
      <xdr:nvSpPr>
        <xdr:cNvPr id="18469" name="AutoShape 37">
          <a:extLst>
            <a:ext uri="{FF2B5EF4-FFF2-40B4-BE49-F238E27FC236}">
              <a16:creationId xmlns:a16="http://schemas.microsoft.com/office/drawing/2014/main" id="{00000000-0008-0000-0E00-000025480000}"/>
            </a:ext>
          </a:extLst>
        </xdr:cNvPr>
        <xdr:cNvSpPr>
          <a:spLocks noChangeArrowheads="1"/>
        </xdr:cNvSpPr>
      </xdr:nvSpPr>
      <xdr:spPr bwMode="auto">
        <a:xfrm>
          <a:off x="33268920" y="0"/>
          <a:ext cx="3238500" cy="0"/>
        </a:xfrm>
        <a:prstGeom prst="leftArrow">
          <a:avLst>
            <a:gd name="adj1" fmla="val 50000"/>
            <a:gd name="adj2" fmla="val -2147483648"/>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24</xdr:col>
      <xdr:colOff>144780</xdr:colOff>
      <xdr:row>0</xdr:row>
      <xdr:rowOff>0</xdr:rowOff>
    </xdr:from>
    <xdr:to>
      <xdr:col>24</xdr:col>
      <xdr:colOff>2606040</xdr:colOff>
      <xdr:row>0</xdr:row>
      <xdr:rowOff>0</xdr:rowOff>
    </xdr:to>
    <xdr:sp macro="" textlink="">
      <xdr:nvSpPr>
        <xdr:cNvPr id="18470" name="AutoShape 38">
          <a:extLst>
            <a:ext uri="{FF2B5EF4-FFF2-40B4-BE49-F238E27FC236}">
              <a16:creationId xmlns:a16="http://schemas.microsoft.com/office/drawing/2014/main" id="{00000000-0008-0000-0E00-000026480000}"/>
            </a:ext>
          </a:extLst>
        </xdr:cNvPr>
        <xdr:cNvSpPr>
          <a:spLocks noChangeArrowheads="1"/>
        </xdr:cNvSpPr>
      </xdr:nvSpPr>
      <xdr:spPr bwMode="auto">
        <a:xfrm flipH="1">
          <a:off x="40789860" y="0"/>
          <a:ext cx="2461260" cy="0"/>
        </a:xfrm>
        <a:prstGeom prst="leftArrow">
          <a:avLst>
            <a:gd name="adj1" fmla="val 50000"/>
            <a:gd name="adj2" fmla="val -2147483648"/>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106680</xdr:colOff>
      <xdr:row>0</xdr:row>
      <xdr:rowOff>0</xdr:rowOff>
    </xdr:from>
    <xdr:to>
      <xdr:col>9</xdr:col>
      <xdr:colOff>1043940</xdr:colOff>
      <xdr:row>0</xdr:row>
      <xdr:rowOff>0</xdr:rowOff>
    </xdr:to>
    <xdr:sp macro="" textlink="">
      <xdr:nvSpPr>
        <xdr:cNvPr id="18471" name="TextBox 3">
          <a:extLst>
            <a:ext uri="{FF2B5EF4-FFF2-40B4-BE49-F238E27FC236}">
              <a16:creationId xmlns:a16="http://schemas.microsoft.com/office/drawing/2014/main" id="{00000000-0008-0000-0E00-000027480000}"/>
            </a:ext>
          </a:extLst>
        </xdr:cNvPr>
        <xdr:cNvSpPr txBox="1">
          <a:spLocks noChangeArrowheads="1"/>
        </xdr:cNvSpPr>
      </xdr:nvSpPr>
      <xdr:spPr bwMode="auto">
        <a:xfrm>
          <a:off x="9707880" y="0"/>
          <a:ext cx="9654540" cy="0"/>
        </a:xfrm>
        <a:prstGeom prst="rect">
          <a:avLst/>
        </a:prstGeom>
        <a:solidFill>
          <a:srgbClr val="EEECE1"/>
        </a:solidFill>
        <a:ln w="9525">
          <a:solidFill>
            <a:srgbClr val="000000"/>
          </a:solidFill>
          <a:miter lim="800000"/>
          <a:headEnd/>
          <a:tailEnd/>
        </a:ln>
      </xdr:spPr>
      <xdr:txBody>
        <a:bodyPr vertOverflow="clip" wrap="square" lIns="27432" tIns="18288" rIns="0" bIns="0" anchor="t"/>
        <a:lstStyle/>
        <a:p>
          <a:pPr algn="l" rtl="0">
            <a:defRPr sz="1000"/>
          </a:pPr>
          <a:r>
            <a:rPr lang="en-AU" sz="1200" b="0" i="0" u="none" strike="noStrike" baseline="0">
              <a:solidFill>
                <a:srgbClr val="000000"/>
              </a:solidFill>
              <a:latin typeface="Calibri"/>
              <a:cs typeface="Calibri"/>
            </a:rPr>
            <a:t>Please ensure that the values per head entered here reflect the  average value of the stock in the paddock at calving, not the market value when selling. The values you enter should reflect something along the lines of the values you might get in a "Clearout Sale".</a:t>
          </a:r>
        </a:p>
        <a:p>
          <a:pPr algn="l" rtl="0">
            <a:defRPr sz="1000"/>
          </a:pPr>
          <a:r>
            <a:rPr lang="en-AU" sz="1200" b="0" i="0" u="none" strike="noStrike" baseline="0">
              <a:solidFill>
                <a:srgbClr val="000000"/>
              </a:solidFill>
              <a:latin typeface="Calibri"/>
              <a:cs typeface="Calibri"/>
            </a:rPr>
            <a:t>These values are not used in this analysis to calculate the opportunity cost of livestock capital. Only the interest payable on the average annual livestock purchases is counted to allow comparison with other forages.  Please change the formula in D171 if all livestock capital is to be accounted for.</a:t>
          </a:r>
        </a:p>
      </xdr:txBody>
    </xdr:sp>
    <xdr:clientData/>
  </xdr:twoCellAnchor>
  <xdr:twoCellAnchor>
    <xdr:from>
      <xdr:col>18</xdr:col>
      <xdr:colOff>441960</xdr:colOff>
      <xdr:row>0</xdr:row>
      <xdr:rowOff>0</xdr:rowOff>
    </xdr:from>
    <xdr:to>
      <xdr:col>20</xdr:col>
      <xdr:colOff>662940</xdr:colOff>
      <xdr:row>0</xdr:row>
      <xdr:rowOff>0</xdr:rowOff>
    </xdr:to>
    <xdr:sp macro="" textlink="">
      <xdr:nvSpPr>
        <xdr:cNvPr id="18472" name="AutoShape 40">
          <a:extLst>
            <a:ext uri="{FF2B5EF4-FFF2-40B4-BE49-F238E27FC236}">
              <a16:creationId xmlns:a16="http://schemas.microsoft.com/office/drawing/2014/main" id="{00000000-0008-0000-0E00-000028480000}"/>
            </a:ext>
          </a:extLst>
        </xdr:cNvPr>
        <xdr:cNvSpPr>
          <a:spLocks noChangeArrowheads="1"/>
        </xdr:cNvSpPr>
      </xdr:nvSpPr>
      <xdr:spPr bwMode="auto">
        <a:xfrm>
          <a:off x="33268920" y="0"/>
          <a:ext cx="3238500" cy="0"/>
        </a:xfrm>
        <a:prstGeom prst="leftArrow">
          <a:avLst>
            <a:gd name="adj1" fmla="val 50000"/>
            <a:gd name="adj2" fmla="val -2147483648"/>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24</xdr:col>
      <xdr:colOff>144780</xdr:colOff>
      <xdr:row>0</xdr:row>
      <xdr:rowOff>0</xdr:rowOff>
    </xdr:from>
    <xdr:to>
      <xdr:col>24</xdr:col>
      <xdr:colOff>2606040</xdr:colOff>
      <xdr:row>0</xdr:row>
      <xdr:rowOff>0</xdr:rowOff>
    </xdr:to>
    <xdr:sp macro="" textlink="">
      <xdr:nvSpPr>
        <xdr:cNvPr id="18473" name="AutoShape 41">
          <a:extLst>
            <a:ext uri="{FF2B5EF4-FFF2-40B4-BE49-F238E27FC236}">
              <a16:creationId xmlns:a16="http://schemas.microsoft.com/office/drawing/2014/main" id="{00000000-0008-0000-0E00-000029480000}"/>
            </a:ext>
          </a:extLst>
        </xdr:cNvPr>
        <xdr:cNvSpPr>
          <a:spLocks noChangeArrowheads="1"/>
        </xdr:cNvSpPr>
      </xdr:nvSpPr>
      <xdr:spPr bwMode="auto">
        <a:xfrm flipH="1">
          <a:off x="40789860" y="0"/>
          <a:ext cx="2461260" cy="0"/>
        </a:xfrm>
        <a:prstGeom prst="leftArrow">
          <a:avLst>
            <a:gd name="adj1" fmla="val 50000"/>
            <a:gd name="adj2" fmla="val -2147483648"/>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22860</xdr:colOff>
      <xdr:row>0</xdr:row>
      <xdr:rowOff>0</xdr:rowOff>
    </xdr:from>
    <xdr:to>
      <xdr:col>10</xdr:col>
      <xdr:colOff>762000</xdr:colOff>
      <xdr:row>0</xdr:row>
      <xdr:rowOff>0</xdr:rowOff>
    </xdr:to>
    <xdr:sp macro="" textlink="">
      <xdr:nvSpPr>
        <xdr:cNvPr id="18474" name="Text Box 42">
          <a:extLst>
            <a:ext uri="{FF2B5EF4-FFF2-40B4-BE49-F238E27FC236}">
              <a16:creationId xmlns:a16="http://schemas.microsoft.com/office/drawing/2014/main" id="{00000000-0008-0000-0E00-00002A480000}"/>
            </a:ext>
          </a:extLst>
        </xdr:cNvPr>
        <xdr:cNvSpPr txBox="1">
          <a:spLocks noChangeArrowheads="1"/>
        </xdr:cNvSpPr>
      </xdr:nvSpPr>
      <xdr:spPr bwMode="auto">
        <a:xfrm>
          <a:off x="9624060" y="0"/>
          <a:ext cx="11452860" cy="0"/>
        </a:xfrm>
        <a:prstGeom prst="rect">
          <a:avLst/>
        </a:prstGeom>
        <a:solidFill>
          <a:srgbClr val="EAEAEA"/>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en-AU" sz="1200" b="0" i="0" u="none" strike="noStrike" baseline="0">
              <a:solidFill>
                <a:srgbClr val="000000"/>
              </a:solidFill>
              <a:latin typeface="Arial"/>
              <a:cs typeface="Arial"/>
            </a:rPr>
            <a:t>Note:</a:t>
          </a:r>
        </a:p>
        <a:p>
          <a:pPr algn="l" rtl="0">
            <a:defRPr sz="1000"/>
          </a:pPr>
          <a:r>
            <a:rPr lang="en-AU" sz="1200" b="0" i="0" u="none" strike="noStrike" baseline="0">
              <a:solidFill>
                <a:srgbClr val="000000"/>
              </a:solidFill>
              <a:latin typeface="Arial"/>
              <a:cs typeface="Arial"/>
            </a:rPr>
            <a:t>Adult Equivalents (AEs) for dry cattle are based on relativity to a standard weight of beast carried for 12 months.  One adult equivalent (AE) can be thought of as the amount of feed consumed in 12 months by a non-lactating animal of average weight 450 kg. Therefore, if average feed consumption is 2.2% of bodyweight, this would be equivalent to approx 3,650 kg dry matter per year for one AE.</a:t>
          </a:r>
        </a:p>
      </xdr:txBody>
    </xdr:sp>
    <xdr:clientData/>
  </xdr:twoCellAnchor>
  <xdr:twoCellAnchor>
    <xdr:from>
      <xdr:col>18</xdr:col>
      <xdr:colOff>441960</xdr:colOff>
      <xdr:row>102</xdr:row>
      <xdr:rowOff>167640</xdr:rowOff>
    </xdr:from>
    <xdr:to>
      <xdr:col>20</xdr:col>
      <xdr:colOff>662940</xdr:colOff>
      <xdr:row>104</xdr:row>
      <xdr:rowOff>68580</xdr:rowOff>
    </xdr:to>
    <xdr:sp macro="" textlink="">
      <xdr:nvSpPr>
        <xdr:cNvPr id="18475" name="AutoShape 43">
          <a:extLst>
            <a:ext uri="{FF2B5EF4-FFF2-40B4-BE49-F238E27FC236}">
              <a16:creationId xmlns:a16="http://schemas.microsoft.com/office/drawing/2014/main" id="{00000000-0008-0000-0E00-00002B480000}"/>
            </a:ext>
          </a:extLst>
        </xdr:cNvPr>
        <xdr:cNvSpPr>
          <a:spLocks noChangeArrowheads="1"/>
        </xdr:cNvSpPr>
      </xdr:nvSpPr>
      <xdr:spPr bwMode="auto">
        <a:xfrm>
          <a:off x="33268920" y="23644860"/>
          <a:ext cx="3238500" cy="281940"/>
        </a:xfrm>
        <a:prstGeom prst="leftArrow">
          <a:avLst>
            <a:gd name="adj1" fmla="val 50000"/>
            <a:gd name="adj2" fmla="val 287162"/>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24</xdr:col>
      <xdr:colOff>144780</xdr:colOff>
      <xdr:row>103</xdr:row>
      <xdr:rowOff>68580</xdr:rowOff>
    </xdr:from>
    <xdr:to>
      <xdr:col>24</xdr:col>
      <xdr:colOff>2598420</xdr:colOff>
      <xdr:row>104</xdr:row>
      <xdr:rowOff>182880</xdr:rowOff>
    </xdr:to>
    <xdr:sp macro="" textlink="">
      <xdr:nvSpPr>
        <xdr:cNvPr id="18476" name="AutoShape 44">
          <a:extLst>
            <a:ext uri="{FF2B5EF4-FFF2-40B4-BE49-F238E27FC236}">
              <a16:creationId xmlns:a16="http://schemas.microsoft.com/office/drawing/2014/main" id="{00000000-0008-0000-0E00-00002C480000}"/>
            </a:ext>
          </a:extLst>
        </xdr:cNvPr>
        <xdr:cNvSpPr>
          <a:spLocks noChangeArrowheads="1"/>
        </xdr:cNvSpPr>
      </xdr:nvSpPr>
      <xdr:spPr bwMode="auto">
        <a:xfrm flipH="1">
          <a:off x="40789860" y="23736300"/>
          <a:ext cx="2453640" cy="304800"/>
        </a:xfrm>
        <a:prstGeom prst="leftArrow">
          <a:avLst>
            <a:gd name="adj1" fmla="val 50000"/>
            <a:gd name="adj2" fmla="val 201250"/>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22860</xdr:colOff>
      <xdr:row>176</xdr:row>
      <xdr:rowOff>160020</xdr:rowOff>
    </xdr:from>
    <xdr:to>
      <xdr:col>11</xdr:col>
      <xdr:colOff>762000</xdr:colOff>
      <xdr:row>180</xdr:row>
      <xdr:rowOff>99060</xdr:rowOff>
    </xdr:to>
    <xdr:sp macro="" textlink="">
      <xdr:nvSpPr>
        <xdr:cNvPr id="18477" name="Text Box 45">
          <a:extLst>
            <a:ext uri="{FF2B5EF4-FFF2-40B4-BE49-F238E27FC236}">
              <a16:creationId xmlns:a16="http://schemas.microsoft.com/office/drawing/2014/main" id="{00000000-0008-0000-0E00-00002D480000}"/>
            </a:ext>
          </a:extLst>
        </xdr:cNvPr>
        <xdr:cNvSpPr txBox="1">
          <a:spLocks noChangeArrowheads="1"/>
        </xdr:cNvSpPr>
      </xdr:nvSpPr>
      <xdr:spPr bwMode="auto">
        <a:xfrm>
          <a:off x="12138660" y="38221920"/>
          <a:ext cx="10767060" cy="701040"/>
        </a:xfrm>
        <a:prstGeom prst="rect">
          <a:avLst/>
        </a:prstGeom>
        <a:solidFill>
          <a:srgbClr val="EAEAEA"/>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en-AU" sz="1200" b="0" i="0" u="none" strike="noStrike" baseline="0">
              <a:solidFill>
                <a:srgbClr val="000000"/>
              </a:solidFill>
              <a:latin typeface="Arial"/>
              <a:cs typeface="Arial"/>
            </a:rPr>
            <a:t>Note:</a:t>
          </a:r>
        </a:p>
        <a:p>
          <a:pPr algn="l" rtl="0">
            <a:defRPr sz="1000"/>
          </a:pPr>
          <a:r>
            <a:rPr lang="en-AU" sz="1200" b="0" i="0" u="none" strike="noStrike" baseline="0">
              <a:solidFill>
                <a:srgbClr val="000000"/>
              </a:solidFill>
              <a:latin typeface="Arial"/>
              <a:cs typeface="Arial"/>
            </a:rPr>
            <a:t>Adult Equivalents (AEs) for dry cattle are based on relativity to a standard weight of beast carried for 12 months.  One adult equivalent (AE) can be thought of as the amount of feed consumed in 12 months by a non-lactating animal of average weight 450 kg. Therefore, if average feed consumption is 2.2% of bodyweight, this would be equivalent to approx 3,650 kg dry matter per year for one AE.</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18</xdr:col>
      <xdr:colOff>441960</xdr:colOff>
      <xdr:row>0</xdr:row>
      <xdr:rowOff>0</xdr:rowOff>
    </xdr:from>
    <xdr:to>
      <xdr:col>20</xdr:col>
      <xdr:colOff>662940</xdr:colOff>
      <xdr:row>0</xdr:row>
      <xdr:rowOff>0</xdr:rowOff>
    </xdr:to>
    <xdr:sp macro="" textlink="">
      <xdr:nvSpPr>
        <xdr:cNvPr id="19457" name="AutoShape 1">
          <a:extLst>
            <a:ext uri="{FF2B5EF4-FFF2-40B4-BE49-F238E27FC236}">
              <a16:creationId xmlns:a16="http://schemas.microsoft.com/office/drawing/2014/main" id="{00000000-0008-0000-0F00-0000014C0000}"/>
            </a:ext>
          </a:extLst>
        </xdr:cNvPr>
        <xdr:cNvSpPr>
          <a:spLocks noChangeArrowheads="1"/>
        </xdr:cNvSpPr>
      </xdr:nvSpPr>
      <xdr:spPr bwMode="auto">
        <a:xfrm>
          <a:off x="33268920" y="0"/>
          <a:ext cx="3238500" cy="0"/>
        </a:xfrm>
        <a:prstGeom prst="leftArrow">
          <a:avLst>
            <a:gd name="adj1" fmla="val 50000"/>
            <a:gd name="adj2" fmla="val -2147483648"/>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24</xdr:col>
      <xdr:colOff>144780</xdr:colOff>
      <xdr:row>0</xdr:row>
      <xdr:rowOff>0</xdr:rowOff>
    </xdr:from>
    <xdr:to>
      <xdr:col>24</xdr:col>
      <xdr:colOff>2606040</xdr:colOff>
      <xdr:row>0</xdr:row>
      <xdr:rowOff>0</xdr:rowOff>
    </xdr:to>
    <xdr:sp macro="" textlink="">
      <xdr:nvSpPr>
        <xdr:cNvPr id="19458" name="AutoShape 2">
          <a:extLst>
            <a:ext uri="{FF2B5EF4-FFF2-40B4-BE49-F238E27FC236}">
              <a16:creationId xmlns:a16="http://schemas.microsoft.com/office/drawing/2014/main" id="{00000000-0008-0000-0F00-0000024C0000}"/>
            </a:ext>
          </a:extLst>
        </xdr:cNvPr>
        <xdr:cNvSpPr>
          <a:spLocks noChangeArrowheads="1"/>
        </xdr:cNvSpPr>
      </xdr:nvSpPr>
      <xdr:spPr bwMode="auto">
        <a:xfrm flipH="1">
          <a:off x="40789860" y="0"/>
          <a:ext cx="2461260" cy="0"/>
        </a:xfrm>
        <a:prstGeom prst="leftArrow">
          <a:avLst>
            <a:gd name="adj1" fmla="val 50000"/>
            <a:gd name="adj2" fmla="val -2147483648"/>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18</xdr:col>
      <xdr:colOff>441960</xdr:colOff>
      <xdr:row>0</xdr:row>
      <xdr:rowOff>0</xdr:rowOff>
    </xdr:from>
    <xdr:to>
      <xdr:col>20</xdr:col>
      <xdr:colOff>662940</xdr:colOff>
      <xdr:row>0</xdr:row>
      <xdr:rowOff>0</xdr:rowOff>
    </xdr:to>
    <xdr:sp macro="" textlink="">
      <xdr:nvSpPr>
        <xdr:cNvPr id="19459" name="AutoShape 3">
          <a:extLst>
            <a:ext uri="{FF2B5EF4-FFF2-40B4-BE49-F238E27FC236}">
              <a16:creationId xmlns:a16="http://schemas.microsoft.com/office/drawing/2014/main" id="{00000000-0008-0000-0F00-0000034C0000}"/>
            </a:ext>
          </a:extLst>
        </xdr:cNvPr>
        <xdr:cNvSpPr>
          <a:spLocks noChangeArrowheads="1"/>
        </xdr:cNvSpPr>
      </xdr:nvSpPr>
      <xdr:spPr bwMode="auto">
        <a:xfrm>
          <a:off x="33268920" y="0"/>
          <a:ext cx="3238500" cy="0"/>
        </a:xfrm>
        <a:prstGeom prst="leftArrow">
          <a:avLst>
            <a:gd name="adj1" fmla="val 50000"/>
            <a:gd name="adj2" fmla="val -2147483648"/>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24</xdr:col>
      <xdr:colOff>144780</xdr:colOff>
      <xdr:row>0</xdr:row>
      <xdr:rowOff>0</xdr:rowOff>
    </xdr:from>
    <xdr:to>
      <xdr:col>24</xdr:col>
      <xdr:colOff>2606040</xdr:colOff>
      <xdr:row>0</xdr:row>
      <xdr:rowOff>0</xdr:rowOff>
    </xdr:to>
    <xdr:sp macro="" textlink="">
      <xdr:nvSpPr>
        <xdr:cNvPr id="19460" name="AutoShape 4">
          <a:extLst>
            <a:ext uri="{FF2B5EF4-FFF2-40B4-BE49-F238E27FC236}">
              <a16:creationId xmlns:a16="http://schemas.microsoft.com/office/drawing/2014/main" id="{00000000-0008-0000-0F00-0000044C0000}"/>
            </a:ext>
          </a:extLst>
        </xdr:cNvPr>
        <xdr:cNvSpPr>
          <a:spLocks noChangeArrowheads="1"/>
        </xdr:cNvSpPr>
      </xdr:nvSpPr>
      <xdr:spPr bwMode="auto">
        <a:xfrm flipH="1">
          <a:off x="40789860" y="0"/>
          <a:ext cx="2461260" cy="0"/>
        </a:xfrm>
        <a:prstGeom prst="leftArrow">
          <a:avLst>
            <a:gd name="adj1" fmla="val 50000"/>
            <a:gd name="adj2" fmla="val -2147483648"/>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106680</xdr:colOff>
      <xdr:row>0</xdr:row>
      <xdr:rowOff>0</xdr:rowOff>
    </xdr:from>
    <xdr:to>
      <xdr:col>9</xdr:col>
      <xdr:colOff>1043940</xdr:colOff>
      <xdr:row>0</xdr:row>
      <xdr:rowOff>0</xdr:rowOff>
    </xdr:to>
    <xdr:sp macro="" textlink="">
      <xdr:nvSpPr>
        <xdr:cNvPr id="19461" name="TextBox 3">
          <a:extLst>
            <a:ext uri="{FF2B5EF4-FFF2-40B4-BE49-F238E27FC236}">
              <a16:creationId xmlns:a16="http://schemas.microsoft.com/office/drawing/2014/main" id="{00000000-0008-0000-0F00-0000054C0000}"/>
            </a:ext>
          </a:extLst>
        </xdr:cNvPr>
        <xdr:cNvSpPr txBox="1">
          <a:spLocks noChangeArrowheads="1"/>
        </xdr:cNvSpPr>
      </xdr:nvSpPr>
      <xdr:spPr bwMode="auto">
        <a:xfrm>
          <a:off x="9707880" y="0"/>
          <a:ext cx="9654540" cy="0"/>
        </a:xfrm>
        <a:prstGeom prst="rect">
          <a:avLst/>
        </a:prstGeom>
        <a:solidFill>
          <a:srgbClr val="EEECE1"/>
        </a:solidFill>
        <a:ln w="9525">
          <a:solidFill>
            <a:srgbClr val="000000"/>
          </a:solidFill>
          <a:miter lim="800000"/>
          <a:headEnd/>
          <a:tailEnd/>
        </a:ln>
      </xdr:spPr>
      <xdr:txBody>
        <a:bodyPr vertOverflow="clip" wrap="square" lIns="27432" tIns="18288" rIns="0" bIns="0" anchor="t"/>
        <a:lstStyle/>
        <a:p>
          <a:pPr algn="l" rtl="0">
            <a:defRPr sz="1000"/>
          </a:pPr>
          <a:r>
            <a:rPr lang="en-AU" sz="1200" b="0" i="0" u="none" strike="noStrike" baseline="0">
              <a:solidFill>
                <a:srgbClr val="000000"/>
              </a:solidFill>
              <a:latin typeface="Calibri"/>
              <a:cs typeface="Calibri"/>
            </a:rPr>
            <a:t>Please ensure that the values per head entered here reflect the  average value of the stock in the paddock at calving, not the market value when selling. The values you enter should reflect something along the lines of the values you might get in a "Clearout Sale".</a:t>
          </a:r>
        </a:p>
        <a:p>
          <a:pPr algn="l" rtl="0">
            <a:defRPr sz="1000"/>
          </a:pPr>
          <a:r>
            <a:rPr lang="en-AU" sz="1200" b="0" i="0" u="none" strike="noStrike" baseline="0">
              <a:solidFill>
                <a:srgbClr val="000000"/>
              </a:solidFill>
              <a:latin typeface="Calibri"/>
              <a:cs typeface="Calibri"/>
            </a:rPr>
            <a:t>These values are not used in this analysis to calculate the opportunity cost of livestock capital. Only the interest payable on the average annual livestock purchases is counted to allow comparison with other forages.  Please change the formula in D171 if all livestock capital is to be accounted for.</a:t>
          </a:r>
        </a:p>
      </xdr:txBody>
    </xdr:sp>
    <xdr:clientData/>
  </xdr:twoCellAnchor>
  <xdr:twoCellAnchor>
    <xdr:from>
      <xdr:col>18</xdr:col>
      <xdr:colOff>441960</xdr:colOff>
      <xdr:row>0</xdr:row>
      <xdr:rowOff>0</xdr:rowOff>
    </xdr:from>
    <xdr:to>
      <xdr:col>20</xdr:col>
      <xdr:colOff>662940</xdr:colOff>
      <xdr:row>0</xdr:row>
      <xdr:rowOff>0</xdr:rowOff>
    </xdr:to>
    <xdr:sp macro="" textlink="">
      <xdr:nvSpPr>
        <xdr:cNvPr id="19462" name="AutoShape 6">
          <a:extLst>
            <a:ext uri="{FF2B5EF4-FFF2-40B4-BE49-F238E27FC236}">
              <a16:creationId xmlns:a16="http://schemas.microsoft.com/office/drawing/2014/main" id="{00000000-0008-0000-0F00-0000064C0000}"/>
            </a:ext>
          </a:extLst>
        </xdr:cNvPr>
        <xdr:cNvSpPr>
          <a:spLocks noChangeArrowheads="1"/>
        </xdr:cNvSpPr>
      </xdr:nvSpPr>
      <xdr:spPr bwMode="auto">
        <a:xfrm>
          <a:off x="33268920" y="0"/>
          <a:ext cx="3238500" cy="0"/>
        </a:xfrm>
        <a:prstGeom prst="leftArrow">
          <a:avLst>
            <a:gd name="adj1" fmla="val 50000"/>
            <a:gd name="adj2" fmla="val -2147483648"/>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24</xdr:col>
      <xdr:colOff>144780</xdr:colOff>
      <xdr:row>0</xdr:row>
      <xdr:rowOff>0</xdr:rowOff>
    </xdr:from>
    <xdr:to>
      <xdr:col>24</xdr:col>
      <xdr:colOff>2606040</xdr:colOff>
      <xdr:row>0</xdr:row>
      <xdr:rowOff>0</xdr:rowOff>
    </xdr:to>
    <xdr:sp macro="" textlink="">
      <xdr:nvSpPr>
        <xdr:cNvPr id="19463" name="AutoShape 7">
          <a:extLst>
            <a:ext uri="{FF2B5EF4-FFF2-40B4-BE49-F238E27FC236}">
              <a16:creationId xmlns:a16="http://schemas.microsoft.com/office/drawing/2014/main" id="{00000000-0008-0000-0F00-0000074C0000}"/>
            </a:ext>
          </a:extLst>
        </xdr:cNvPr>
        <xdr:cNvSpPr>
          <a:spLocks noChangeArrowheads="1"/>
        </xdr:cNvSpPr>
      </xdr:nvSpPr>
      <xdr:spPr bwMode="auto">
        <a:xfrm flipH="1">
          <a:off x="40789860" y="0"/>
          <a:ext cx="2461260" cy="0"/>
        </a:xfrm>
        <a:prstGeom prst="leftArrow">
          <a:avLst>
            <a:gd name="adj1" fmla="val 50000"/>
            <a:gd name="adj2" fmla="val -2147483648"/>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22860</xdr:colOff>
      <xdr:row>0</xdr:row>
      <xdr:rowOff>0</xdr:rowOff>
    </xdr:from>
    <xdr:to>
      <xdr:col>10</xdr:col>
      <xdr:colOff>762000</xdr:colOff>
      <xdr:row>0</xdr:row>
      <xdr:rowOff>0</xdr:rowOff>
    </xdr:to>
    <xdr:sp macro="" textlink="">
      <xdr:nvSpPr>
        <xdr:cNvPr id="19464" name="Text Box 8">
          <a:extLst>
            <a:ext uri="{FF2B5EF4-FFF2-40B4-BE49-F238E27FC236}">
              <a16:creationId xmlns:a16="http://schemas.microsoft.com/office/drawing/2014/main" id="{00000000-0008-0000-0F00-0000084C0000}"/>
            </a:ext>
          </a:extLst>
        </xdr:cNvPr>
        <xdr:cNvSpPr txBox="1">
          <a:spLocks noChangeArrowheads="1"/>
        </xdr:cNvSpPr>
      </xdr:nvSpPr>
      <xdr:spPr bwMode="auto">
        <a:xfrm>
          <a:off x="9624060" y="0"/>
          <a:ext cx="11452860" cy="0"/>
        </a:xfrm>
        <a:prstGeom prst="rect">
          <a:avLst/>
        </a:prstGeom>
        <a:solidFill>
          <a:srgbClr val="EAEAEA"/>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en-AU" sz="1200" b="0" i="0" u="none" strike="noStrike" baseline="0">
              <a:solidFill>
                <a:srgbClr val="000000"/>
              </a:solidFill>
              <a:latin typeface="Arial"/>
              <a:cs typeface="Arial"/>
            </a:rPr>
            <a:t>Note:</a:t>
          </a:r>
        </a:p>
        <a:p>
          <a:pPr algn="l" rtl="0">
            <a:defRPr sz="1000"/>
          </a:pPr>
          <a:r>
            <a:rPr lang="en-AU" sz="1200" b="0" i="0" u="none" strike="noStrike" baseline="0">
              <a:solidFill>
                <a:srgbClr val="000000"/>
              </a:solidFill>
              <a:latin typeface="Arial"/>
              <a:cs typeface="Arial"/>
            </a:rPr>
            <a:t>Adult Equivalents (AEs) for dry cattle are based on relativity to a standard weight of beast carried for 12 months.  One adult equivalent (AE) can be thought of as the amount of feed consumed in 12 months by a non-lactating animal of average weight 450 kg. Therefore, if average feed consumption is 2.2% of bodyweight, this would be equivalent to approx 3,650 kg dry matter per year for one AE.</a:t>
          </a:r>
        </a:p>
      </xdr:txBody>
    </xdr:sp>
    <xdr:clientData/>
  </xdr:twoCellAnchor>
  <xdr:twoCellAnchor>
    <xdr:from>
      <xdr:col>5</xdr:col>
      <xdr:colOff>22860</xdr:colOff>
      <xdr:row>233</xdr:row>
      <xdr:rowOff>160020</xdr:rowOff>
    </xdr:from>
    <xdr:to>
      <xdr:col>10</xdr:col>
      <xdr:colOff>762000</xdr:colOff>
      <xdr:row>237</xdr:row>
      <xdr:rowOff>99060</xdr:rowOff>
    </xdr:to>
    <xdr:sp macro="" textlink="">
      <xdr:nvSpPr>
        <xdr:cNvPr id="19466" name="Text Box 10">
          <a:extLst>
            <a:ext uri="{FF2B5EF4-FFF2-40B4-BE49-F238E27FC236}">
              <a16:creationId xmlns:a16="http://schemas.microsoft.com/office/drawing/2014/main" id="{00000000-0008-0000-0F00-00000A4C0000}"/>
            </a:ext>
          </a:extLst>
        </xdr:cNvPr>
        <xdr:cNvSpPr txBox="1">
          <a:spLocks noChangeArrowheads="1"/>
        </xdr:cNvSpPr>
      </xdr:nvSpPr>
      <xdr:spPr bwMode="auto">
        <a:xfrm>
          <a:off x="9624060" y="49080420"/>
          <a:ext cx="11452860" cy="701040"/>
        </a:xfrm>
        <a:prstGeom prst="rect">
          <a:avLst/>
        </a:prstGeom>
        <a:solidFill>
          <a:srgbClr val="EAEAEA"/>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en-AU" sz="1200" b="0" i="0" u="none" strike="noStrike" baseline="0">
              <a:solidFill>
                <a:srgbClr val="000000"/>
              </a:solidFill>
              <a:latin typeface="Arial"/>
              <a:cs typeface="Arial"/>
            </a:rPr>
            <a:t>Note:</a:t>
          </a:r>
        </a:p>
        <a:p>
          <a:pPr algn="l" rtl="0">
            <a:defRPr sz="1000"/>
          </a:pPr>
          <a:r>
            <a:rPr lang="en-AU" sz="1200" b="0" i="0" u="none" strike="noStrike" baseline="0">
              <a:solidFill>
                <a:srgbClr val="000000"/>
              </a:solidFill>
              <a:latin typeface="Arial"/>
              <a:cs typeface="Arial"/>
            </a:rPr>
            <a:t>Adult Equivalents (AEs) for dry cattle are based on relativity to a standard weight of beast carried for 12 months.  One adult equivalent (AE) can be thought of as the amount of feed consumed in 12 months by a non-lactating animal of average weight 450 kg. Therefore, if average feed consumption is 2.2% of bodyweight, this would be equivalent to approx 3,650 kg dry matter per year for one AE.</a:t>
          </a:r>
        </a:p>
      </xdr:txBody>
    </xdr:sp>
    <xdr:clientData/>
  </xdr:twoCellAnchor>
  <xdr:twoCellAnchor>
    <xdr:from>
      <xdr:col>18</xdr:col>
      <xdr:colOff>441960</xdr:colOff>
      <xdr:row>147</xdr:row>
      <xdr:rowOff>167640</xdr:rowOff>
    </xdr:from>
    <xdr:to>
      <xdr:col>20</xdr:col>
      <xdr:colOff>662940</xdr:colOff>
      <xdr:row>149</xdr:row>
      <xdr:rowOff>68580</xdr:rowOff>
    </xdr:to>
    <xdr:sp macro="" textlink="">
      <xdr:nvSpPr>
        <xdr:cNvPr id="19467" name="AutoShape 11">
          <a:extLst>
            <a:ext uri="{FF2B5EF4-FFF2-40B4-BE49-F238E27FC236}">
              <a16:creationId xmlns:a16="http://schemas.microsoft.com/office/drawing/2014/main" id="{00000000-0008-0000-0F00-00000B4C0000}"/>
            </a:ext>
          </a:extLst>
        </xdr:cNvPr>
        <xdr:cNvSpPr>
          <a:spLocks noChangeArrowheads="1"/>
        </xdr:cNvSpPr>
      </xdr:nvSpPr>
      <xdr:spPr bwMode="auto">
        <a:xfrm>
          <a:off x="33268920" y="32529780"/>
          <a:ext cx="3238500" cy="289560"/>
        </a:xfrm>
        <a:prstGeom prst="leftArrow">
          <a:avLst>
            <a:gd name="adj1" fmla="val 50000"/>
            <a:gd name="adj2" fmla="val 279605"/>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24</xdr:col>
      <xdr:colOff>144780</xdr:colOff>
      <xdr:row>148</xdr:row>
      <xdr:rowOff>68580</xdr:rowOff>
    </xdr:from>
    <xdr:to>
      <xdr:col>24</xdr:col>
      <xdr:colOff>2598420</xdr:colOff>
      <xdr:row>149</xdr:row>
      <xdr:rowOff>182880</xdr:rowOff>
    </xdr:to>
    <xdr:sp macro="" textlink="">
      <xdr:nvSpPr>
        <xdr:cNvPr id="19468" name="AutoShape 12">
          <a:extLst>
            <a:ext uri="{FF2B5EF4-FFF2-40B4-BE49-F238E27FC236}">
              <a16:creationId xmlns:a16="http://schemas.microsoft.com/office/drawing/2014/main" id="{00000000-0008-0000-0F00-00000C4C0000}"/>
            </a:ext>
          </a:extLst>
        </xdr:cNvPr>
        <xdr:cNvSpPr>
          <a:spLocks noChangeArrowheads="1"/>
        </xdr:cNvSpPr>
      </xdr:nvSpPr>
      <xdr:spPr bwMode="auto">
        <a:xfrm flipH="1">
          <a:off x="40789860" y="32628840"/>
          <a:ext cx="2453640" cy="304800"/>
        </a:xfrm>
        <a:prstGeom prst="leftArrow">
          <a:avLst>
            <a:gd name="adj1" fmla="val 50000"/>
            <a:gd name="adj2" fmla="val 201250"/>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18</xdr:col>
      <xdr:colOff>441960</xdr:colOff>
      <xdr:row>0</xdr:row>
      <xdr:rowOff>0</xdr:rowOff>
    </xdr:from>
    <xdr:to>
      <xdr:col>20</xdr:col>
      <xdr:colOff>662940</xdr:colOff>
      <xdr:row>0</xdr:row>
      <xdr:rowOff>0</xdr:rowOff>
    </xdr:to>
    <xdr:sp macro="" textlink="">
      <xdr:nvSpPr>
        <xdr:cNvPr id="19470" name="AutoShape 14">
          <a:extLst>
            <a:ext uri="{FF2B5EF4-FFF2-40B4-BE49-F238E27FC236}">
              <a16:creationId xmlns:a16="http://schemas.microsoft.com/office/drawing/2014/main" id="{00000000-0008-0000-0F00-00000E4C0000}"/>
            </a:ext>
          </a:extLst>
        </xdr:cNvPr>
        <xdr:cNvSpPr>
          <a:spLocks noChangeArrowheads="1"/>
        </xdr:cNvSpPr>
      </xdr:nvSpPr>
      <xdr:spPr bwMode="auto">
        <a:xfrm>
          <a:off x="33268920" y="0"/>
          <a:ext cx="3238500" cy="0"/>
        </a:xfrm>
        <a:prstGeom prst="leftArrow">
          <a:avLst>
            <a:gd name="adj1" fmla="val 50000"/>
            <a:gd name="adj2" fmla="val -2147483648"/>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24</xdr:col>
      <xdr:colOff>144780</xdr:colOff>
      <xdr:row>0</xdr:row>
      <xdr:rowOff>0</xdr:rowOff>
    </xdr:from>
    <xdr:to>
      <xdr:col>24</xdr:col>
      <xdr:colOff>2606040</xdr:colOff>
      <xdr:row>0</xdr:row>
      <xdr:rowOff>0</xdr:rowOff>
    </xdr:to>
    <xdr:sp macro="" textlink="">
      <xdr:nvSpPr>
        <xdr:cNvPr id="19471" name="AutoShape 15">
          <a:extLst>
            <a:ext uri="{FF2B5EF4-FFF2-40B4-BE49-F238E27FC236}">
              <a16:creationId xmlns:a16="http://schemas.microsoft.com/office/drawing/2014/main" id="{00000000-0008-0000-0F00-00000F4C0000}"/>
            </a:ext>
          </a:extLst>
        </xdr:cNvPr>
        <xdr:cNvSpPr>
          <a:spLocks noChangeArrowheads="1"/>
        </xdr:cNvSpPr>
      </xdr:nvSpPr>
      <xdr:spPr bwMode="auto">
        <a:xfrm flipH="1">
          <a:off x="40789860" y="0"/>
          <a:ext cx="2461260" cy="0"/>
        </a:xfrm>
        <a:prstGeom prst="leftArrow">
          <a:avLst>
            <a:gd name="adj1" fmla="val 50000"/>
            <a:gd name="adj2" fmla="val -2147483648"/>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18</xdr:col>
      <xdr:colOff>441960</xdr:colOff>
      <xdr:row>0</xdr:row>
      <xdr:rowOff>0</xdr:rowOff>
    </xdr:from>
    <xdr:to>
      <xdr:col>20</xdr:col>
      <xdr:colOff>662940</xdr:colOff>
      <xdr:row>0</xdr:row>
      <xdr:rowOff>0</xdr:rowOff>
    </xdr:to>
    <xdr:sp macro="" textlink="">
      <xdr:nvSpPr>
        <xdr:cNvPr id="19472" name="AutoShape 16">
          <a:extLst>
            <a:ext uri="{FF2B5EF4-FFF2-40B4-BE49-F238E27FC236}">
              <a16:creationId xmlns:a16="http://schemas.microsoft.com/office/drawing/2014/main" id="{00000000-0008-0000-0F00-0000104C0000}"/>
            </a:ext>
          </a:extLst>
        </xdr:cNvPr>
        <xdr:cNvSpPr>
          <a:spLocks noChangeArrowheads="1"/>
        </xdr:cNvSpPr>
      </xdr:nvSpPr>
      <xdr:spPr bwMode="auto">
        <a:xfrm>
          <a:off x="33268920" y="0"/>
          <a:ext cx="3238500" cy="0"/>
        </a:xfrm>
        <a:prstGeom prst="leftArrow">
          <a:avLst>
            <a:gd name="adj1" fmla="val 50000"/>
            <a:gd name="adj2" fmla="val -2147483648"/>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24</xdr:col>
      <xdr:colOff>144780</xdr:colOff>
      <xdr:row>0</xdr:row>
      <xdr:rowOff>0</xdr:rowOff>
    </xdr:from>
    <xdr:to>
      <xdr:col>24</xdr:col>
      <xdr:colOff>2606040</xdr:colOff>
      <xdr:row>0</xdr:row>
      <xdr:rowOff>0</xdr:rowOff>
    </xdr:to>
    <xdr:sp macro="" textlink="">
      <xdr:nvSpPr>
        <xdr:cNvPr id="19473" name="AutoShape 17">
          <a:extLst>
            <a:ext uri="{FF2B5EF4-FFF2-40B4-BE49-F238E27FC236}">
              <a16:creationId xmlns:a16="http://schemas.microsoft.com/office/drawing/2014/main" id="{00000000-0008-0000-0F00-0000114C0000}"/>
            </a:ext>
          </a:extLst>
        </xdr:cNvPr>
        <xdr:cNvSpPr>
          <a:spLocks noChangeArrowheads="1"/>
        </xdr:cNvSpPr>
      </xdr:nvSpPr>
      <xdr:spPr bwMode="auto">
        <a:xfrm flipH="1">
          <a:off x="40789860" y="0"/>
          <a:ext cx="2461260" cy="0"/>
        </a:xfrm>
        <a:prstGeom prst="leftArrow">
          <a:avLst>
            <a:gd name="adj1" fmla="val 50000"/>
            <a:gd name="adj2" fmla="val -2147483648"/>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106680</xdr:colOff>
      <xdr:row>0</xdr:row>
      <xdr:rowOff>0</xdr:rowOff>
    </xdr:from>
    <xdr:to>
      <xdr:col>9</xdr:col>
      <xdr:colOff>1043940</xdr:colOff>
      <xdr:row>0</xdr:row>
      <xdr:rowOff>0</xdr:rowOff>
    </xdr:to>
    <xdr:sp macro="" textlink="">
      <xdr:nvSpPr>
        <xdr:cNvPr id="19474" name="TextBox 3">
          <a:extLst>
            <a:ext uri="{FF2B5EF4-FFF2-40B4-BE49-F238E27FC236}">
              <a16:creationId xmlns:a16="http://schemas.microsoft.com/office/drawing/2014/main" id="{00000000-0008-0000-0F00-0000124C0000}"/>
            </a:ext>
          </a:extLst>
        </xdr:cNvPr>
        <xdr:cNvSpPr txBox="1">
          <a:spLocks noChangeArrowheads="1"/>
        </xdr:cNvSpPr>
      </xdr:nvSpPr>
      <xdr:spPr bwMode="auto">
        <a:xfrm>
          <a:off x="9707880" y="0"/>
          <a:ext cx="9654540" cy="0"/>
        </a:xfrm>
        <a:prstGeom prst="rect">
          <a:avLst/>
        </a:prstGeom>
        <a:solidFill>
          <a:srgbClr val="EEECE1"/>
        </a:solidFill>
        <a:ln w="9525">
          <a:solidFill>
            <a:srgbClr val="000000"/>
          </a:solidFill>
          <a:miter lim="800000"/>
          <a:headEnd/>
          <a:tailEnd/>
        </a:ln>
      </xdr:spPr>
      <xdr:txBody>
        <a:bodyPr vertOverflow="clip" wrap="square" lIns="27432" tIns="18288" rIns="0" bIns="0" anchor="t"/>
        <a:lstStyle/>
        <a:p>
          <a:pPr algn="l" rtl="0">
            <a:defRPr sz="1000"/>
          </a:pPr>
          <a:r>
            <a:rPr lang="en-AU" sz="1200" b="0" i="0" u="none" strike="noStrike" baseline="0">
              <a:solidFill>
                <a:srgbClr val="000000"/>
              </a:solidFill>
              <a:latin typeface="Calibri"/>
              <a:cs typeface="Calibri"/>
            </a:rPr>
            <a:t>Please ensure that the values per head entered here reflect the  average value of the stock in the paddock at calving, not the market value when selling. The values you enter should reflect something along the lines of the values you might get in a "Clearout Sale".</a:t>
          </a:r>
        </a:p>
        <a:p>
          <a:pPr algn="l" rtl="0">
            <a:defRPr sz="1000"/>
          </a:pPr>
          <a:r>
            <a:rPr lang="en-AU" sz="1200" b="0" i="0" u="none" strike="noStrike" baseline="0">
              <a:solidFill>
                <a:srgbClr val="000000"/>
              </a:solidFill>
              <a:latin typeface="Calibri"/>
              <a:cs typeface="Calibri"/>
            </a:rPr>
            <a:t>These values are not used in this analysis to calculate the opportunity cost of livestock capital. Only the interest payable on the average annual livestock purchases is counted to allow comparison with other forages.  Please change the formula in D171 if all livestock capital is to be accounted for.</a:t>
          </a:r>
        </a:p>
      </xdr:txBody>
    </xdr:sp>
    <xdr:clientData/>
  </xdr:twoCellAnchor>
  <xdr:twoCellAnchor>
    <xdr:from>
      <xdr:col>18</xdr:col>
      <xdr:colOff>441960</xdr:colOff>
      <xdr:row>0</xdr:row>
      <xdr:rowOff>0</xdr:rowOff>
    </xdr:from>
    <xdr:to>
      <xdr:col>20</xdr:col>
      <xdr:colOff>662940</xdr:colOff>
      <xdr:row>0</xdr:row>
      <xdr:rowOff>0</xdr:rowOff>
    </xdr:to>
    <xdr:sp macro="" textlink="">
      <xdr:nvSpPr>
        <xdr:cNvPr id="19475" name="AutoShape 19">
          <a:extLst>
            <a:ext uri="{FF2B5EF4-FFF2-40B4-BE49-F238E27FC236}">
              <a16:creationId xmlns:a16="http://schemas.microsoft.com/office/drawing/2014/main" id="{00000000-0008-0000-0F00-0000134C0000}"/>
            </a:ext>
          </a:extLst>
        </xdr:cNvPr>
        <xdr:cNvSpPr>
          <a:spLocks noChangeArrowheads="1"/>
        </xdr:cNvSpPr>
      </xdr:nvSpPr>
      <xdr:spPr bwMode="auto">
        <a:xfrm>
          <a:off x="33268920" y="0"/>
          <a:ext cx="3238500" cy="0"/>
        </a:xfrm>
        <a:prstGeom prst="leftArrow">
          <a:avLst>
            <a:gd name="adj1" fmla="val 50000"/>
            <a:gd name="adj2" fmla="val -2147483648"/>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24</xdr:col>
      <xdr:colOff>144780</xdr:colOff>
      <xdr:row>0</xdr:row>
      <xdr:rowOff>0</xdr:rowOff>
    </xdr:from>
    <xdr:to>
      <xdr:col>24</xdr:col>
      <xdr:colOff>2606040</xdr:colOff>
      <xdr:row>0</xdr:row>
      <xdr:rowOff>0</xdr:rowOff>
    </xdr:to>
    <xdr:sp macro="" textlink="">
      <xdr:nvSpPr>
        <xdr:cNvPr id="19476" name="AutoShape 20">
          <a:extLst>
            <a:ext uri="{FF2B5EF4-FFF2-40B4-BE49-F238E27FC236}">
              <a16:creationId xmlns:a16="http://schemas.microsoft.com/office/drawing/2014/main" id="{00000000-0008-0000-0F00-0000144C0000}"/>
            </a:ext>
          </a:extLst>
        </xdr:cNvPr>
        <xdr:cNvSpPr>
          <a:spLocks noChangeArrowheads="1"/>
        </xdr:cNvSpPr>
      </xdr:nvSpPr>
      <xdr:spPr bwMode="auto">
        <a:xfrm flipH="1">
          <a:off x="40789860" y="0"/>
          <a:ext cx="2461260" cy="0"/>
        </a:xfrm>
        <a:prstGeom prst="leftArrow">
          <a:avLst>
            <a:gd name="adj1" fmla="val 50000"/>
            <a:gd name="adj2" fmla="val -2147483648"/>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22860</xdr:colOff>
      <xdr:row>0</xdr:row>
      <xdr:rowOff>0</xdr:rowOff>
    </xdr:from>
    <xdr:to>
      <xdr:col>10</xdr:col>
      <xdr:colOff>762000</xdr:colOff>
      <xdr:row>0</xdr:row>
      <xdr:rowOff>0</xdr:rowOff>
    </xdr:to>
    <xdr:sp macro="" textlink="">
      <xdr:nvSpPr>
        <xdr:cNvPr id="19477" name="Text Box 21">
          <a:extLst>
            <a:ext uri="{FF2B5EF4-FFF2-40B4-BE49-F238E27FC236}">
              <a16:creationId xmlns:a16="http://schemas.microsoft.com/office/drawing/2014/main" id="{00000000-0008-0000-0F00-0000154C0000}"/>
            </a:ext>
          </a:extLst>
        </xdr:cNvPr>
        <xdr:cNvSpPr txBox="1">
          <a:spLocks noChangeArrowheads="1"/>
        </xdr:cNvSpPr>
      </xdr:nvSpPr>
      <xdr:spPr bwMode="auto">
        <a:xfrm>
          <a:off x="9624060" y="0"/>
          <a:ext cx="11452860" cy="0"/>
        </a:xfrm>
        <a:prstGeom prst="rect">
          <a:avLst/>
        </a:prstGeom>
        <a:solidFill>
          <a:srgbClr val="EAEAEA"/>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en-AU" sz="1200" b="0" i="0" u="none" strike="noStrike" baseline="0">
              <a:solidFill>
                <a:srgbClr val="000000"/>
              </a:solidFill>
              <a:latin typeface="Arial"/>
              <a:cs typeface="Arial"/>
            </a:rPr>
            <a:t>Note:</a:t>
          </a:r>
        </a:p>
        <a:p>
          <a:pPr algn="l" rtl="0">
            <a:defRPr sz="1000"/>
          </a:pPr>
          <a:r>
            <a:rPr lang="en-AU" sz="1200" b="0" i="0" u="none" strike="noStrike" baseline="0">
              <a:solidFill>
                <a:srgbClr val="000000"/>
              </a:solidFill>
              <a:latin typeface="Arial"/>
              <a:cs typeface="Arial"/>
            </a:rPr>
            <a:t>Adult Equivalents (AEs) for dry cattle are based on relativity to a standard weight of beast carried for 12 months.  One adult equivalent (AE) can be thought of as the amount of feed consumed in 12 months by a non-lactating animal of average weight 450 kg. Therefore, if average feed consumption is 2.2% of bodyweight, this would be equivalent to approx 3,650 kg dry matter per year for one AE.</a:t>
          </a:r>
        </a:p>
      </xdr:txBody>
    </xdr:sp>
    <xdr:clientData/>
  </xdr:twoCellAnchor>
  <xdr:twoCellAnchor>
    <xdr:from>
      <xdr:col>5</xdr:col>
      <xdr:colOff>22860</xdr:colOff>
      <xdr:row>233</xdr:row>
      <xdr:rowOff>160020</xdr:rowOff>
    </xdr:from>
    <xdr:to>
      <xdr:col>10</xdr:col>
      <xdr:colOff>762000</xdr:colOff>
      <xdr:row>237</xdr:row>
      <xdr:rowOff>99060</xdr:rowOff>
    </xdr:to>
    <xdr:sp macro="" textlink="">
      <xdr:nvSpPr>
        <xdr:cNvPr id="19478" name="Text Box 22">
          <a:extLst>
            <a:ext uri="{FF2B5EF4-FFF2-40B4-BE49-F238E27FC236}">
              <a16:creationId xmlns:a16="http://schemas.microsoft.com/office/drawing/2014/main" id="{00000000-0008-0000-0F00-0000164C0000}"/>
            </a:ext>
          </a:extLst>
        </xdr:cNvPr>
        <xdr:cNvSpPr txBox="1">
          <a:spLocks noChangeArrowheads="1"/>
        </xdr:cNvSpPr>
      </xdr:nvSpPr>
      <xdr:spPr bwMode="auto">
        <a:xfrm>
          <a:off x="9624060" y="49080420"/>
          <a:ext cx="11452860" cy="701040"/>
        </a:xfrm>
        <a:prstGeom prst="rect">
          <a:avLst/>
        </a:prstGeom>
        <a:solidFill>
          <a:srgbClr val="EAEAEA"/>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en-AU" sz="1200" b="0" i="0" u="none" strike="noStrike" baseline="0">
              <a:solidFill>
                <a:srgbClr val="000000"/>
              </a:solidFill>
              <a:latin typeface="Arial"/>
              <a:cs typeface="Arial"/>
            </a:rPr>
            <a:t>Note:</a:t>
          </a:r>
        </a:p>
        <a:p>
          <a:pPr algn="l" rtl="0">
            <a:defRPr sz="1000"/>
          </a:pPr>
          <a:r>
            <a:rPr lang="en-AU" sz="1200" b="0" i="0" u="none" strike="noStrike" baseline="0">
              <a:solidFill>
                <a:srgbClr val="000000"/>
              </a:solidFill>
              <a:latin typeface="Arial"/>
              <a:cs typeface="Arial"/>
            </a:rPr>
            <a:t>Adult Equivalents (AEs) for dry cattle are based on relativity to a standard weight of beast carried for 12 months.  One adult equivalent (AE) can be thought of as the amount of feed consumed in 12 months by a non-lactating animal of average weight 450 kg. Therefore, if average feed consumption is 2.2% of bodyweight, this would be equivalent to approx 3,650 kg dry matter per year for one AE.</a:t>
          </a:r>
        </a:p>
      </xdr:txBody>
    </xdr:sp>
    <xdr:clientData/>
  </xdr:twoCellAnchor>
  <xdr:twoCellAnchor>
    <xdr:from>
      <xdr:col>18</xdr:col>
      <xdr:colOff>441960</xdr:colOff>
      <xdr:row>147</xdr:row>
      <xdr:rowOff>167640</xdr:rowOff>
    </xdr:from>
    <xdr:to>
      <xdr:col>20</xdr:col>
      <xdr:colOff>662940</xdr:colOff>
      <xdr:row>149</xdr:row>
      <xdr:rowOff>68580</xdr:rowOff>
    </xdr:to>
    <xdr:sp macro="" textlink="">
      <xdr:nvSpPr>
        <xdr:cNvPr id="19479" name="AutoShape 23">
          <a:extLst>
            <a:ext uri="{FF2B5EF4-FFF2-40B4-BE49-F238E27FC236}">
              <a16:creationId xmlns:a16="http://schemas.microsoft.com/office/drawing/2014/main" id="{00000000-0008-0000-0F00-0000174C0000}"/>
            </a:ext>
          </a:extLst>
        </xdr:cNvPr>
        <xdr:cNvSpPr>
          <a:spLocks noChangeArrowheads="1"/>
        </xdr:cNvSpPr>
      </xdr:nvSpPr>
      <xdr:spPr bwMode="auto">
        <a:xfrm>
          <a:off x="33268920" y="32529780"/>
          <a:ext cx="3238500" cy="289560"/>
        </a:xfrm>
        <a:prstGeom prst="leftArrow">
          <a:avLst>
            <a:gd name="adj1" fmla="val 50000"/>
            <a:gd name="adj2" fmla="val 279605"/>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24</xdr:col>
      <xdr:colOff>144780</xdr:colOff>
      <xdr:row>148</xdr:row>
      <xdr:rowOff>68580</xdr:rowOff>
    </xdr:from>
    <xdr:to>
      <xdr:col>24</xdr:col>
      <xdr:colOff>2598420</xdr:colOff>
      <xdr:row>149</xdr:row>
      <xdr:rowOff>182880</xdr:rowOff>
    </xdr:to>
    <xdr:sp macro="" textlink="">
      <xdr:nvSpPr>
        <xdr:cNvPr id="19480" name="AutoShape 24">
          <a:extLst>
            <a:ext uri="{FF2B5EF4-FFF2-40B4-BE49-F238E27FC236}">
              <a16:creationId xmlns:a16="http://schemas.microsoft.com/office/drawing/2014/main" id="{00000000-0008-0000-0F00-0000184C0000}"/>
            </a:ext>
          </a:extLst>
        </xdr:cNvPr>
        <xdr:cNvSpPr>
          <a:spLocks noChangeArrowheads="1"/>
        </xdr:cNvSpPr>
      </xdr:nvSpPr>
      <xdr:spPr bwMode="auto">
        <a:xfrm flipH="1">
          <a:off x="40789860" y="32628840"/>
          <a:ext cx="2453640" cy="304800"/>
        </a:xfrm>
        <a:prstGeom prst="leftArrow">
          <a:avLst>
            <a:gd name="adj1" fmla="val 50000"/>
            <a:gd name="adj2" fmla="val 201250"/>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18</xdr:col>
      <xdr:colOff>441960</xdr:colOff>
      <xdr:row>0</xdr:row>
      <xdr:rowOff>0</xdr:rowOff>
    </xdr:from>
    <xdr:to>
      <xdr:col>20</xdr:col>
      <xdr:colOff>662940</xdr:colOff>
      <xdr:row>0</xdr:row>
      <xdr:rowOff>0</xdr:rowOff>
    </xdr:to>
    <xdr:sp macro="" textlink="">
      <xdr:nvSpPr>
        <xdr:cNvPr id="19481" name="AutoShape 25">
          <a:extLst>
            <a:ext uri="{FF2B5EF4-FFF2-40B4-BE49-F238E27FC236}">
              <a16:creationId xmlns:a16="http://schemas.microsoft.com/office/drawing/2014/main" id="{00000000-0008-0000-0F00-0000194C0000}"/>
            </a:ext>
          </a:extLst>
        </xdr:cNvPr>
        <xdr:cNvSpPr>
          <a:spLocks noChangeArrowheads="1"/>
        </xdr:cNvSpPr>
      </xdr:nvSpPr>
      <xdr:spPr bwMode="auto">
        <a:xfrm>
          <a:off x="33268920" y="0"/>
          <a:ext cx="3238500" cy="0"/>
        </a:xfrm>
        <a:prstGeom prst="leftArrow">
          <a:avLst>
            <a:gd name="adj1" fmla="val 50000"/>
            <a:gd name="adj2" fmla="val -2147483648"/>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24</xdr:col>
      <xdr:colOff>144780</xdr:colOff>
      <xdr:row>0</xdr:row>
      <xdr:rowOff>0</xdr:rowOff>
    </xdr:from>
    <xdr:to>
      <xdr:col>24</xdr:col>
      <xdr:colOff>2606040</xdr:colOff>
      <xdr:row>0</xdr:row>
      <xdr:rowOff>0</xdr:rowOff>
    </xdr:to>
    <xdr:sp macro="" textlink="">
      <xdr:nvSpPr>
        <xdr:cNvPr id="19482" name="AutoShape 26">
          <a:extLst>
            <a:ext uri="{FF2B5EF4-FFF2-40B4-BE49-F238E27FC236}">
              <a16:creationId xmlns:a16="http://schemas.microsoft.com/office/drawing/2014/main" id="{00000000-0008-0000-0F00-00001A4C0000}"/>
            </a:ext>
          </a:extLst>
        </xdr:cNvPr>
        <xdr:cNvSpPr>
          <a:spLocks noChangeArrowheads="1"/>
        </xdr:cNvSpPr>
      </xdr:nvSpPr>
      <xdr:spPr bwMode="auto">
        <a:xfrm flipH="1">
          <a:off x="40789860" y="0"/>
          <a:ext cx="2461260" cy="0"/>
        </a:xfrm>
        <a:prstGeom prst="leftArrow">
          <a:avLst>
            <a:gd name="adj1" fmla="val 50000"/>
            <a:gd name="adj2" fmla="val -2147483648"/>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18</xdr:col>
      <xdr:colOff>441960</xdr:colOff>
      <xdr:row>0</xdr:row>
      <xdr:rowOff>0</xdr:rowOff>
    </xdr:from>
    <xdr:to>
      <xdr:col>20</xdr:col>
      <xdr:colOff>662940</xdr:colOff>
      <xdr:row>0</xdr:row>
      <xdr:rowOff>0</xdr:rowOff>
    </xdr:to>
    <xdr:sp macro="" textlink="">
      <xdr:nvSpPr>
        <xdr:cNvPr id="19483" name="AutoShape 27">
          <a:extLst>
            <a:ext uri="{FF2B5EF4-FFF2-40B4-BE49-F238E27FC236}">
              <a16:creationId xmlns:a16="http://schemas.microsoft.com/office/drawing/2014/main" id="{00000000-0008-0000-0F00-00001B4C0000}"/>
            </a:ext>
          </a:extLst>
        </xdr:cNvPr>
        <xdr:cNvSpPr>
          <a:spLocks noChangeArrowheads="1"/>
        </xdr:cNvSpPr>
      </xdr:nvSpPr>
      <xdr:spPr bwMode="auto">
        <a:xfrm>
          <a:off x="33268920" y="0"/>
          <a:ext cx="3238500" cy="0"/>
        </a:xfrm>
        <a:prstGeom prst="leftArrow">
          <a:avLst>
            <a:gd name="adj1" fmla="val 50000"/>
            <a:gd name="adj2" fmla="val -2147483648"/>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24</xdr:col>
      <xdr:colOff>144780</xdr:colOff>
      <xdr:row>0</xdr:row>
      <xdr:rowOff>0</xdr:rowOff>
    </xdr:from>
    <xdr:to>
      <xdr:col>24</xdr:col>
      <xdr:colOff>2606040</xdr:colOff>
      <xdr:row>0</xdr:row>
      <xdr:rowOff>0</xdr:rowOff>
    </xdr:to>
    <xdr:sp macro="" textlink="">
      <xdr:nvSpPr>
        <xdr:cNvPr id="19484" name="AutoShape 28">
          <a:extLst>
            <a:ext uri="{FF2B5EF4-FFF2-40B4-BE49-F238E27FC236}">
              <a16:creationId xmlns:a16="http://schemas.microsoft.com/office/drawing/2014/main" id="{00000000-0008-0000-0F00-00001C4C0000}"/>
            </a:ext>
          </a:extLst>
        </xdr:cNvPr>
        <xdr:cNvSpPr>
          <a:spLocks noChangeArrowheads="1"/>
        </xdr:cNvSpPr>
      </xdr:nvSpPr>
      <xdr:spPr bwMode="auto">
        <a:xfrm flipH="1">
          <a:off x="40789860" y="0"/>
          <a:ext cx="2461260" cy="0"/>
        </a:xfrm>
        <a:prstGeom prst="leftArrow">
          <a:avLst>
            <a:gd name="adj1" fmla="val 50000"/>
            <a:gd name="adj2" fmla="val -2147483648"/>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106680</xdr:colOff>
      <xdr:row>0</xdr:row>
      <xdr:rowOff>0</xdr:rowOff>
    </xdr:from>
    <xdr:to>
      <xdr:col>9</xdr:col>
      <xdr:colOff>1043940</xdr:colOff>
      <xdr:row>0</xdr:row>
      <xdr:rowOff>0</xdr:rowOff>
    </xdr:to>
    <xdr:sp macro="" textlink="">
      <xdr:nvSpPr>
        <xdr:cNvPr id="19485" name="TextBox 3">
          <a:extLst>
            <a:ext uri="{FF2B5EF4-FFF2-40B4-BE49-F238E27FC236}">
              <a16:creationId xmlns:a16="http://schemas.microsoft.com/office/drawing/2014/main" id="{00000000-0008-0000-0F00-00001D4C0000}"/>
            </a:ext>
          </a:extLst>
        </xdr:cNvPr>
        <xdr:cNvSpPr txBox="1">
          <a:spLocks noChangeArrowheads="1"/>
        </xdr:cNvSpPr>
      </xdr:nvSpPr>
      <xdr:spPr bwMode="auto">
        <a:xfrm>
          <a:off x="9707880" y="0"/>
          <a:ext cx="9654540" cy="0"/>
        </a:xfrm>
        <a:prstGeom prst="rect">
          <a:avLst/>
        </a:prstGeom>
        <a:solidFill>
          <a:srgbClr val="EEECE1"/>
        </a:solidFill>
        <a:ln w="9525">
          <a:solidFill>
            <a:srgbClr val="000000"/>
          </a:solidFill>
          <a:miter lim="800000"/>
          <a:headEnd/>
          <a:tailEnd/>
        </a:ln>
      </xdr:spPr>
      <xdr:txBody>
        <a:bodyPr vertOverflow="clip" wrap="square" lIns="27432" tIns="18288" rIns="0" bIns="0" anchor="t"/>
        <a:lstStyle/>
        <a:p>
          <a:pPr algn="l" rtl="0">
            <a:defRPr sz="1000"/>
          </a:pPr>
          <a:r>
            <a:rPr lang="en-AU" sz="1200" b="0" i="0" u="none" strike="noStrike" baseline="0">
              <a:solidFill>
                <a:srgbClr val="000000"/>
              </a:solidFill>
              <a:latin typeface="Calibri"/>
              <a:cs typeface="Calibri"/>
            </a:rPr>
            <a:t>Please ensure that the values per head entered here reflect the  average value of the stock in the paddock at calving, not the market value when selling. The values you enter should reflect something along the lines of the values you might get in a "Clearout Sale".</a:t>
          </a:r>
        </a:p>
        <a:p>
          <a:pPr algn="l" rtl="0">
            <a:defRPr sz="1000"/>
          </a:pPr>
          <a:r>
            <a:rPr lang="en-AU" sz="1200" b="0" i="0" u="none" strike="noStrike" baseline="0">
              <a:solidFill>
                <a:srgbClr val="000000"/>
              </a:solidFill>
              <a:latin typeface="Calibri"/>
              <a:cs typeface="Calibri"/>
            </a:rPr>
            <a:t>These values are not used in this analysis to calculate the opportunity cost of livestock capital. Only the interest payable on the average annual livestock purchases is counted to allow comparison with other forages.  Please change the formula in D171 if all livestock capital is to be accounted for.</a:t>
          </a:r>
        </a:p>
      </xdr:txBody>
    </xdr:sp>
    <xdr:clientData/>
  </xdr:twoCellAnchor>
  <xdr:twoCellAnchor>
    <xdr:from>
      <xdr:col>18</xdr:col>
      <xdr:colOff>441960</xdr:colOff>
      <xdr:row>0</xdr:row>
      <xdr:rowOff>0</xdr:rowOff>
    </xdr:from>
    <xdr:to>
      <xdr:col>20</xdr:col>
      <xdr:colOff>662940</xdr:colOff>
      <xdr:row>0</xdr:row>
      <xdr:rowOff>0</xdr:rowOff>
    </xdr:to>
    <xdr:sp macro="" textlink="">
      <xdr:nvSpPr>
        <xdr:cNvPr id="19486" name="AutoShape 30">
          <a:extLst>
            <a:ext uri="{FF2B5EF4-FFF2-40B4-BE49-F238E27FC236}">
              <a16:creationId xmlns:a16="http://schemas.microsoft.com/office/drawing/2014/main" id="{00000000-0008-0000-0F00-00001E4C0000}"/>
            </a:ext>
          </a:extLst>
        </xdr:cNvPr>
        <xdr:cNvSpPr>
          <a:spLocks noChangeArrowheads="1"/>
        </xdr:cNvSpPr>
      </xdr:nvSpPr>
      <xdr:spPr bwMode="auto">
        <a:xfrm>
          <a:off x="33268920" y="0"/>
          <a:ext cx="3238500" cy="0"/>
        </a:xfrm>
        <a:prstGeom prst="leftArrow">
          <a:avLst>
            <a:gd name="adj1" fmla="val 50000"/>
            <a:gd name="adj2" fmla="val -2147483648"/>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24</xdr:col>
      <xdr:colOff>144780</xdr:colOff>
      <xdr:row>0</xdr:row>
      <xdr:rowOff>0</xdr:rowOff>
    </xdr:from>
    <xdr:to>
      <xdr:col>24</xdr:col>
      <xdr:colOff>2606040</xdr:colOff>
      <xdr:row>0</xdr:row>
      <xdr:rowOff>0</xdr:rowOff>
    </xdr:to>
    <xdr:sp macro="" textlink="">
      <xdr:nvSpPr>
        <xdr:cNvPr id="19487" name="AutoShape 31">
          <a:extLst>
            <a:ext uri="{FF2B5EF4-FFF2-40B4-BE49-F238E27FC236}">
              <a16:creationId xmlns:a16="http://schemas.microsoft.com/office/drawing/2014/main" id="{00000000-0008-0000-0F00-00001F4C0000}"/>
            </a:ext>
          </a:extLst>
        </xdr:cNvPr>
        <xdr:cNvSpPr>
          <a:spLocks noChangeArrowheads="1"/>
        </xdr:cNvSpPr>
      </xdr:nvSpPr>
      <xdr:spPr bwMode="auto">
        <a:xfrm flipH="1">
          <a:off x="40789860" y="0"/>
          <a:ext cx="2461260" cy="0"/>
        </a:xfrm>
        <a:prstGeom prst="leftArrow">
          <a:avLst>
            <a:gd name="adj1" fmla="val 50000"/>
            <a:gd name="adj2" fmla="val -2147483648"/>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22860</xdr:colOff>
      <xdr:row>0</xdr:row>
      <xdr:rowOff>0</xdr:rowOff>
    </xdr:from>
    <xdr:to>
      <xdr:col>10</xdr:col>
      <xdr:colOff>762000</xdr:colOff>
      <xdr:row>0</xdr:row>
      <xdr:rowOff>0</xdr:rowOff>
    </xdr:to>
    <xdr:sp macro="" textlink="">
      <xdr:nvSpPr>
        <xdr:cNvPr id="19488" name="Text Box 32">
          <a:extLst>
            <a:ext uri="{FF2B5EF4-FFF2-40B4-BE49-F238E27FC236}">
              <a16:creationId xmlns:a16="http://schemas.microsoft.com/office/drawing/2014/main" id="{00000000-0008-0000-0F00-0000204C0000}"/>
            </a:ext>
          </a:extLst>
        </xdr:cNvPr>
        <xdr:cNvSpPr txBox="1">
          <a:spLocks noChangeArrowheads="1"/>
        </xdr:cNvSpPr>
      </xdr:nvSpPr>
      <xdr:spPr bwMode="auto">
        <a:xfrm>
          <a:off x="9624060" y="0"/>
          <a:ext cx="11452860" cy="0"/>
        </a:xfrm>
        <a:prstGeom prst="rect">
          <a:avLst/>
        </a:prstGeom>
        <a:solidFill>
          <a:srgbClr val="EAEAEA"/>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en-AU" sz="1200" b="0" i="0" u="none" strike="noStrike" baseline="0">
              <a:solidFill>
                <a:srgbClr val="000000"/>
              </a:solidFill>
              <a:latin typeface="Arial"/>
              <a:cs typeface="Arial"/>
            </a:rPr>
            <a:t>Note:</a:t>
          </a:r>
        </a:p>
        <a:p>
          <a:pPr algn="l" rtl="0">
            <a:defRPr sz="1000"/>
          </a:pPr>
          <a:r>
            <a:rPr lang="en-AU" sz="1200" b="0" i="0" u="none" strike="noStrike" baseline="0">
              <a:solidFill>
                <a:srgbClr val="000000"/>
              </a:solidFill>
              <a:latin typeface="Arial"/>
              <a:cs typeface="Arial"/>
            </a:rPr>
            <a:t>Adult Equivalents (AEs) for dry cattle are based on relativity to a standard weight of beast carried for 12 months.  One adult equivalent (AE) can be thought of as the amount of feed consumed in 12 months by a non-lactating animal of average weight 450 kg. Therefore, if average feed consumption is 2.2% of bodyweight, this would be equivalent to approx 3,650 kg dry matter per year for one AE.</a:t>
          </a:r>
        </a:p>
      </xdr:txBody>
    </xdr:sp>
    <xdr:clientData/>
  </xdr:twoCellAnchor>
  <xdr:twoCellAnchor>
    <xdr:from>
      <xdr:col>18</xdr:col>
      <xdr:colOff>441960</xdr:colOff>
      <xdr:row>102</xdr:row>
      <xdr:rowOff>167640</xdr:rowOff>
    </xdr:from>
    <xdr:to>
      <xdr:col>20</xdr:col>
      <xdr:colOff>662940</xdr:colOff>
      <xdr:row>104</xdr:row>
      <xdr:rowOff>68580</xdr:rowOff>
    </xdr:to>
    <xdr:sp macro="" textlink="">
      <xdr:nvSpPr>
        <xdr:cNvPr id="19489" name="AutoShape 33">
          <a:extLst>
            <a:ext uri="{FF2B5EF4-FFF2-40B4-BE49-F238E27FC236}">
              <a16:creationId xmlns:a16="http://schemas.microsoft.com/office/drawing/2014/main" id="{00000000-0008-0000-0F00-0000214C0000}"/>
            </a:ext>
          </a:extLst>
        </xdr:cNvPr>
        <xdr:cNvSpPr>
          <a:spLocks noChangeArrowheads="1"/>
        </xdr:cNvSpPr>
      </xdr:nvSpPr>
      <xdr:spPr bwMode="auto">
        <a:xfrm>
          <a:off x="33268920" y="23644860"/>
          <a:ext cx="3238500" cy="281940"/>
        </a:xfrm>
        <a:prstGeom prst="leftArrow">
          <a:avLst>
            <a:gd name="adj1" fmla="val 50000"/>
            <a:gd name="adj2" fmla="val 287162"/>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24</xdr:col>
      <xdr:colOff>144780</xdr:colOff>
      <xdr:row>103</xdr:row>
      <xdr:rowOff>68580</xdr:rowOff>
    </xdr:from>
    <xdr:to>
      <xdr:col>24</xdr:col>
      <xdr:colOff>2598420</xdr:colOff>
      <xdr:row>104</xdr:row>
      <xdr:rowOff>182880</xdr:rowOff>
    </xdr:to>
    <xdr:sp macro="" textlink="">
      <xdr:nvSpPr>
        <xdr:cNvPr id="19490" name="AutoShape 34">
          <a:extLst>
            <a:ext uri="{FF2B5EF4-FFF2-40B4-BE49-F238E27FC236}">
              <a16:creationId xmlns:a16="http://schemas.microsoft.com/office/drawing/2014/main" id="{00000000-0008-0000-0F00-0000224C0000}"/>
            </a:ext>
          </a:extLst>
        </xdr:cNvPr>
        <xdr:cNvSpPr>
          <a:spLocks noChangeArrowheads="1"/>
        </xdr:cNvSpPr>
      </xdr:nvSpPr>
      <xdr:spPr bwMode="auto">
        <a:xfrm flipH="1">
          <a:off x="40789860" y="23736300"/>
          <a:ext cx="2453640" cy="304800"/>
        </a:xfrm>
        <a:prstGeom prst="leftArrow">
          <a:avLst>
            <a:gd name="adj1" fmla="val 50000"/>
            <a:gd name="adj2" fmla="val 201250"/>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22860</xdr:colOff>
      <xdr:row>176</xdr:row>
      <xdr:rowOff>160020</xdr:rowOff>
    </xdr:from>
    <xdr:to>
      <xdr:col>11</xdr:col>
      <xdr:colOff>762000</xdr:colOff>
      <xdr:row>180</xdr:row>
      <xdr:rowOff>99060</xdr:rowOff>
    </xdr:to>
    <xdr:sp macro="" textlink="">
      <xdr:nvSpPr>
        <xdr:cNvPr id="19491" name="Text Box 35">
          <a:extLst>
            <a:ext uri="{FF2B5EF4-FFF2-40B4-BE49-F238E27FC236}">
              <a16:creationId xmlns:a16="http://schemas.microsoft.com/office/drawing/2014/main" id="{00000000-0008-0000-0F00-0000234C0000}"/>
            </a:ext>
          </a:extLst>
        </xdr:cNvPr>
        <xdr:cNvSpPr txBox="1">
          <a:spLocks noChangeArrowheads="1"/>
        </xdr:cNvSpPr>
      </xdr:nvSpPr>
      <xdr:spPr bwMode="auto">
        <a:xfrm>
          <a:off x="12138660" y="38221920"/>
          <a:ext cx="10767060" cy="701040"/>
        </a:xfrm>
        <a:prstGeom prst="rect">
          <a:avLst/>
        </a:prstGeom>
        <a:solidFill>
          <a:srgbClr val="EAEAEA"/>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en-AU" sz="1200" b="0" i="0" u="none" strike="noStrike" baseline="0">
              <a:solidFill>
                <a:srgbClr val="000000"/>
              </a:solidFill>
              <a:latin typeface="Arial"/>
              <a:cs typeface="Arial"/>
            </a:rPr>
            <a:t>Note:</a:t>
          </a:r>
        </a:p>
        <a:p>
          <a:pPr algn="l" rtl="0">
            <a:defRPr sz="1000"/>
          </a:pPr>
          <a:r>
            <a:rPr lang="en-AU" sz="1200" b="0" i="0" u="none" strike="noStrike" baseline="0">
              <a:solidFill>
                <a:srgbClr val="000000"/>
              </a:solidFill>
              <a:latin typeface="Arial"/>
              <a:cs typeface="Arial"/>
            </a:rPr>
            <a:t>Adult Equivalents (AEs) for dry cattle are based on relativity to a standard weight of beast carried for 12 months.  One adult equivalent (AE) can be thought of as the amount of feed consumed in 12 months by a non-lactating animal of average weight 450 kg. Therefore, if average feed consumption is 2.2% of bodyweight, this would be equivalent to approx 3,650 kg dry matter per year for one AE.</a:t>
          </a:r>
        </a:p>
      </xdr:txBody>
    </xdr:sp>
    <xdr:clientData/>
  </xdr:twoCellAnchor>
  <xdr:twoCellAnchor>
    <xdr:from>
      <xdr:col>18</xdr:col>
      <xdr:colOff>441960</xdr:colOff>
      <xdr:row>0</xdr:row>
      <xdr:rowOff>0</xdr:rowOff>
    </xdr:from>
    <xdr:to>
      <xdr:col>20</xdr:col>
      <xdr:colOff>662940</xdr:colOff>
      <xdr:row>0</xdr:row>
      <xdr:rowOff>0</xdr:rowOff>
    </xdr:to>
    <xdr:sp macro="" textlink="">
      <xdr:nvSpPr>
        <xdr:cNvPr id="19492" name="AutoShape 36">
          <a:extLst>
            <a:ext uri="{FF2B5EF4-FFF2-40B4-BE49-F238E27FC236}">
              <a16:creationId xmlns:a16="http://schemas.microsoft.com/office/drawing/2014/main" id="{00000000-0008-0000-0F00-0000244C0000}"/>
            </a:ext>
          </a:extLst>
        </xdr:cNvPr>
        <xdr:cNvSpPr>
          <a:spLocks noChangeArrowheads="1"/>
        </xdr:cNvSpPr>
      </xdr:nvSpPr>
      <xdr:spPr bwMode="auto">
        <a:xfrm>
          <a:off x="33268920" y="0"/>
          <a:ext cx="3238500" cy="0"/>
        </a:xfrm>
        <a:prstGeom prst="leftArrow">
          <a:avLst>
            <a:gd name="adj1" fmla="val 50000"/>
            <a:gd name="adj2" fmla="val -2147483648"/>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24</xdr:col>
      <xdr:colOff>144780</xdr:colOff>
      <xdr:row>0</xdr:row>
      <xdr:rowOff>0</xdr:rowOff>
    </xdr:from>
    <xdr:to>
      <xdr:col>24</xdr:col>
      <xdr:colOff>2606040</xdr:colOff>
      <xdr:row>0</xdr:row>
      <xdr:rowOff>0</xdr:rowOff>
    </xdr:to>
    <xdr:sp macro="" textlink="">
      <xdr:nvSpPr>
        <xdr:cNvPr id="19493" name="AutoShape 37">
          <a:extLst>
            <a:ext uri="{FF2B5EF4-FFF2-40B4-BE49-F238E27FC236}">
              <a16:creationId xmlns:a16="http://schemas.microsoft.com/office/drawing/2014/main" id="{00000000-0008-0000-0F00-0000254C0000}"/>
            </a:ext>
          </a:extLst>
        </xdr:cNvPr>
        <xdr:cNvSpPr>
          <a:spLocks noChangeArrowheads="1"/>
        </xdr:cNvSpPr>
      </xdr:nvSpPr>
      <xdr:spPr bwMode="auto">
        <a:xfrm flipH="1">
          <a:off x="40789860" y="0"/>
          <a:ext cx="2461260" cy="0"/>
        </a:xfrm>
        <a:prstGeom prst="leftArrow">
          <a:avLst>
            <a:gd name="adj1" fmla="val 50000"/>
            <a:gd name="adj2" fmla="val -2147483648"/>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18</xdr:col>
      <xdr:colOff>441960</xdr:colOff>
      <xdr:row>0</xdr:row>
      <xdr:rowOff>0</xdr:rowOff>
    </xdr:from>
    <xdr:to>
      <xdr:col>20</xdr:col>
      <xdr:colOff>662940</xdr:colOff>
      <xdr:row>0</xdr:row>
      <xdr:rowOff>0</xdr:rowOff>
    </xdr:to>
    <xdr:sp macro="" textlink="">
      <xdr:nvSpPr>
        <xdr:cNvPr id="19494" name="AutoShape 38">
          <a:extLst>
            <a:ext uri="{FF2B5EF4-FFF2-40B4-BE49-F238E27FC236}">
              <a16:creationId xmlns:a16="http://schemas.microsoft.com/office/drawing/2014/main" id="{00000000-0008-0000-0F00-0000264C0000}"/>
            </a:ext>
          </a:extLst>
        </xdr:cNvPr>
        <xdr:cNvSpPr>
          <a:spLocks noChangeArrowheads="1"/>
        </xdr:cNvSpPr>
      </xdr:nvSpPr>
      <xdr:spPr bwMode="auto">
        <a:xfrm>
          <a:off x="33268920" y="0"/>
          <a:ext cx="3238500" cy="0"/>
        </a:xfrm>
        <a:prstGeom prst="leftArrow">
          <a:avLst>
            <a:gd name="adj1" fmla="val 50000"/>
            <a:gd name="adj2" fmla="val -2147483648"/>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24</xdr:col>
      <xdr:colOff>144780</xdr:colOff>
      <xdr:row>0</xdr:row>
      <xdr:rowOff>0</xdr:rowOff>
    </xdr:from>
    <xdr:to>
      <xdr:col>24</xdr:col>
      <xdr:colOff>2606040</xdr:colOff>
      <xdr:row>0</xdr:row>
      <xdr:rowOff>0</xdr:rowOff>
    </xdr:to>
    <xdr:sp macro="" textlink="">
      <xdr:nvSpPr>
        <xdr:cNvPr id="19495" name="AutoShape 39">
          <a:extLst>
            <a:ext uri="{FF2B5EF4-FFF2-40B4-BE49-F238E27FC236}">
              <a16:creationId xmlns:a16="http://schemas.microsoft.com/office/drawing/2014/main" id="{00000000-0008-0000-0F00-0000274C0000}"/>
            </a:ext>
          </a:extLst>
        </xdr:cNvPr>
        <xdr:cNvSpPr>
          <a:spLocks noChangeArrowheads="1"/>
        </xdr:cNvSpPr>
      </xdr:nvSpPr>
      <xdr:spPr bwMode="auto">
        <a:xfrm flipH="1">
          <a:off x="40789860" y="0"/>
          <a:ext cx="2461260" cy="0"/>
        </a:xfrm>
        <a:prstGeom prst="leftArrow">
          <a:avLst>
            <a:gd name="adj1" fmla="val 50000"/>
            <a:gd name="adj2" fmla="val -2147483648"/>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106680</xdr:colOff>
      <xdr:row>0</xdr:row>
      <xdr:rowOff>0</xdr:rowOff>
    </xdr:from>
    <xdr:to>
      <xdr:col>9</xdr:col>
      <xdr:colOff>1043940</xdr:colOff>
      <xdr:row>0</xdr:row>
      <xdr:rowOff>0</xdr:rowOff>
    </xdr:to>
    <xdr:sp macro="" textlink="">
      <xdr:nvSpPr>
        <xdr:cNvPr id="19496" name="TextBox 3">
          <a:extLst>
            <a:ext uri="{FF2B5EF4-FFF2-40B4-BE49-F238E27FC236}">
              <a16:creationId xmlns:a16="http://schemas.microsoft.com/office/drawing/2014/main" id="{00000000-0008-0000-0F00-0000284C0000}"/>
            </a:ext>
          </a:extLst>
        </xdr:cNvPr>
        <xdr:cNvSpPr txBox="1">
          <a:spLocks noChangeArrowheads="1"/>
        </xdr:cNvSpPr>
      </xdr:nvSpPr>
      <xdr:spPr bwMode="auto">
        <a:xfrm>
          <a:off x="9707880" y="0"/>
          <a:ext cx="9654540" cy="0"/>
        </a:xfrm>
        <a:prstGeom prst="rect">
          <a:avLst/>
        </a:prstGeom>
        <a:solidFill>
          <a:srgbClr val="EEECE1"/>
        </a:solidFill>
        <a:ln w="9525">
          <a:solidFill>
            <a:srgbClr val="000000"/>
          </a:solidFill>
          <a:miter lim="800000"/>
          <a:headEnd/>
          <a:tailEnd/>
        </a:ln>
      </xdr:spPr>
      <xdr:txBody>
        <a:bodyPr vertOverflow="clip" wrap="square" lIns="27432" tIns="18288" rIns="0" bIns="0" anchor="t"/>
        <a:lstStyle/>
        <a:p>
          <a:pPr algn="l" rtl="0">
            <a:defRPr sz="1000"/>
          </a:pPr>
          <a:r>
            <a:rPr lang="en-AU" sz="1200" b="0" i="0" u="none" strike="noStrike" baseline="0">
              <a:solidFill>
                <a:srgbClr val="000000"/>
              </a:solidFill>
              <a:latin typeface="Calibri"/>
              <a:cs typeface="Calibri"/>
            </a:rPr>
            <a:t>Please ensure that the values per head entered here reflect the  average value of the stock in the paddock at calving, not the market value when selling. The values you enter should reflect something along the lines of the values you might get in a "Clearout Sale".</a:t>
          </a:r>
        </a:p>
        <a:p>
          <a:pPr algn="l" rtl="0">
            <a:defRPr sz="1000"/>
          </a:pPr>
          <a:r>
            <a:rPr lang="en-AU" sz="1200" b="0" i="0" u="none" strike="noStrike" baseline="0">
              <a:solidFill>
                <a:srgbClr val="000000"/>
              </a:solidFill>
              <a:latin typeface="Calibri"/>
              <a:cs typeface="Calibri"/>
            </a:rPr>
            <a:t>These values are not used in this analysis to calculate the opportunity cost of livestock capital. Only the interest payable on the average annual livestock purchases is counted to allow comparison with other forages.  Please change the formula in D171 if all livestock capital is to be accounted for.</a:t>
          </a:r>
        </a:p>
      </xdr:txBody>
    </xdr:sp>
    <xdr:clientData/>
  </xdr:twoCellAnchor>
  <xdr:twoCellAnchor>
    <xdr:from>
      <xdr:col>18</xdr:col>
      <xdr:colOff>441960</xdr:colOff>
      <xdr:row>0</xdr:row>
      <xdr:rowOff>0</xdr:rowOff>
    </xdr:from>
    <xdr:to>
      <xdr:col>20</xdr:col>
      <xdr:colOff>662940</xdr:colOff>
      <xdr:row>0</xdr:row>
      <xdr:rowOff>0</xdr:rowOff>
    </xdr:to>
    <xdr:sp macro="" textlink="">
      <xdr:nvSpPr>
        <xdr:cNvPr id="19497" name="AutoShape 41">
          <a:extLst>
            <a:ext uri="{FF2B5EF4-FFF2-40B4-BE49-F238E27FC236}">
              <a16:creationId xmlns:a16="http://schemas.microsoft.com/office/drawing/2014/main" id="{00000000-0008-0000-0F00-0000294C0000}"/>
            </a:ext>
          </a:extLst>
        </xdr:cNvPr>
        <xdr:cNvSpPr>
          <a:spLocks noChangeArrowheads="1"/>
        </xdr:cNvSpPr>
      </xdr:nvSpPr>
      <xdr:spPr bwMode="auto">
        <a:xfrm>
          <a:off x="33268920" y="0"/>
          <a:ext cx="3238500" cy="0"/>
        </a:xfrm>
        <a:prstGeom prst="leftArrow">
          <a:avLst>
            <a:gd name="adj1" fmla="val 50000"/>
            <a:gd name="adj2" fmla="val -2147483648"/>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24</xdr:col>
      <xdr:colOff>144780</xdr:colOff>
      <xdr:row>0</xdr:row>
      <xdr:rowOff>0</xdr:rowOff>
    </xdr:from>
    <xdr:to>
      <xdr:col>24</xdr:col>
      <xdr:colOff>2606040</xdr:colOff>
      <xdr:row>0</xdr:row>
      <xdr:rowOff>0</xdr:rowOff>
    </xdr:to>
    <xdr:sp macro="" textlink="">
      <xdr:nvSpPr>
        <xdr:cNvPr id="19498" name="AutoShape 42">
          <a:extLst>
            <a:ext uri="{FF2B5EF4-FFF2-40B4-BE49-F238E27FC236}">
              <a16:creationId xmlns:a16="http://schemas.microsoft.com/office/drawing/2014/main" id="{00000000-0008-0000-0F00-00002A4C0000}"/>
            </a:ext>
          </a:extLst>
        </xdr:cNvPr>
        <xdr:cNvSpPr>
          <a:spLocks noChangeArrowheads="1"/>
        </xdr:cNvSpPr>
      </xdr:nvSpPr>
      <xdr:spPr bwMode="auto">
        <a:xfrm flipH="1">
          <a:off x="40789860" y="0"/>
          <a:ext cx="2461260" cy="0"/>
        </a:xfrm>
        <a:prstGeom prst="leftArrow">
          <a:avLst>
            <a:gd name="adj1" fmla="val 50000"/>
            <a:gd name="adj2" fmla="val -2147483648"/>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22860</xdr:colOff>
      <xdr:row>0</xdr:row>
      <xdr:rowOff>0</xdr:rowOff>
    </xdr:from>
    <xdr:to>
      <xdr:col>10</xdr:col>
      <xdr:colOff>762000</xdr:colOff>
      <xdr:row>0</xdr:row>
      <xdr:rowOff>0</xdr:rowOff>
    </xdr:to>
    <xdr:sp macro="" textlink="">
      <xdr:nvSpPr>
        <xdr:cNvPr id="19499" name="Text Box 43">
          <a:extLst>
            <a:ext uri="{FF2B5EF4-FFF2-40B4-BE49-F238E27FC236}">
              <a16:creationId xmlns:a16="http://schemas.microsoft.com/office/drawing/2014/main" id="{00000000-0008-0000-0F00-00002B4C0000}"/>
            </a:ext>
          </a:extLst>
        </xdr:cNvPr>
        <xdr:cNvSpPr txBox="1">
          <a:spLocks noChangeArrowheads="1"/>
        </xdr:cNvSpPr>
      </xdr:nvSpPr>
      <xdr:spPr bwMode="auto">
        <a:xfrm>
          <a:off x="9624060" y="0"/>
          <a:ext cx="11452860" cy="0"/>
        </a:xfrm>
        <a:prstGeom prst="rect">
          <a:avLst/>
        </a:prstGeom>
        <a:solidFill>
          <a:srgbClr val="EAEAEA"/>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en-AU" sz="1200" b="0" i="0" u="none" strike="noStrike" baseline="0">
              <a:solidFill>
                <a:srgbClr val="000000"/>
              </a:solidFill>
              <a:latin typeface="Arial"/>
              <a:cs typeface="Arial"/>
            </a:rPr>
            <a:t>Note:</a:t>
          </a:r>
        </a:p>
        <a:p>
          <a:pPr algn="l" rtl="0">
            <a:defRPr sz="1000"/>
          </a:pPr>
          <a:r>
            <a:rPr lang="en-AU" sz="1200" b="0" i="0" u="none" strike="noStrike" baseline="0">
              <a:solidFill>
                <a:srgbClr val="000000"/>
              </a:solidFill>
              <a:latin typeface="Arial"/>
              <a:cs typeface="Arial"/>
            </a:rPr>
            <a:t>Adult Equivalents (AEs) for dry cattle are based on relativity to a standard weight of beast carried for 12 months.  One adult equivalent (AE) can be thought of as the amount of feed consumed in 12 months by a non-lactating animal of average weight 450 kg. Therefore, if average feed consumption is 2.2% of bodyweight, this would be equivalent to approx 3,650 kg dry matter per year for one AE.</a:t>
          </a:r>
        </a:p>
      </xdr:txBody>
    </xdr:sp>
    <xdr:clientData/>
  </xdr:twoCellAnchor>
  <xdr:twoCellAnchor>
    <xdr:from>
      <xdr:col>18</xdr:col>
      <xdr:colOff>441960</xdr:colOff>
      <xdr:row>102</xdr:row>
      <xdr:rowOff>167640</xdr:rowOff>
    </xdr:from>
    <xdr:to>
      <xdr:col>20</xdr:col>
      <xdr:colOff>662940</xdr:colOff>
      <xdr:row>104</xdr:row>
      <xdr:rowOff>68580</xdr:rowOff>
    </xdr:to>
    <xdr:sp macro="" textlink="">
      <xdr:nvSpPr>
        <xdr:cNvPr id="19500" name="AutoShape 44">
          <a:extLst>
            <a:ext uri="{FF2B5EF4-FFF2-40B4-BE49-F238E27FC236}">
              <a16:creationId xmlns:a16="http://schemas.microsoft.com/office/drawing/2014/main" id="{00000000-0008-0000-0F00-00002C4C0000}"/>
            </a:ext>
          </a:extLst>
        </xdr:cNvPr>
        <xdr:cNvSpPr>
          <a:spLocks noChangeArrowheads="1"/>
        </xdr:cNvSpPr>
      </xdr:nvSpPr>
      <xdr:spPr bwMode="auto">
        <a:xfrm>
          <a:off x="33268920" y="23644860"/>
          <a:ext cx="3238500" cy="281940"/>
        </a:xfrm>
        <a:prstGeom prst="leftArrow">
          <a:avLst>
            <a:gd name="adj1" fmla="val 50000"/>
            <a:gd name="adj2" fmla="val 287162"/>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24</xdr:col>
      <xdr:colOff>144780</xdr:colOff>
      <xdr:row>103</xdr:row>
      <xdr:rowOff>68580</xdr:rowOff>
    </xdr:from>
    <xdr:to>
      <xdr:col>24</xdr:col>
      <xdr:colOff>2598420</xdr:colOff>
      <xdr:row>104</xdr:row>
      <xdr:rowOff>182880</xdr:rowOff>
    </xdr:to>
    <xdr:sp macro="" textlink="">
      <xdr:nvSpPr>
        <xdr:cNvPr id="19501" name="AutoShape 45">
          <a:extLst>
            <a:ext uri="{FF2B5EF4-FFF2-40B4-BE49-F238E27FC236}">
              <a16:creationId xmlns:a16="http://schemas.microsoft.com/office/drawing/2014/main" id="{00000000-0008-0000-0F00-00002D4C0000}"/>
            </a:ext>
          </a:extLst>
        </xdr:cNvPr>
        <xdr:cNvSpPr>
          <a:spLocks noChangeArrowheads="1"/>
        </xdr:cNvSpPr>
      </xdr:nvSpPr>
      <xdr:spPr bwMode="auto">
        <a:xfrm flipH="1">
          <a:off x="40789860" y="23736300"/>
          <a:ext cx="2453640" cy="304800"/>
        </a:xfrm>
        <a:prstGeom prst="leftArrow">
          <a:avLst>
            <a:gd name="adj1" fmla="val 50000"/>
            <a:gd name="adj2" fmla="val 201250"/>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22860</xdr:colOff>
      <xdr:row>176</xdr:row>
      <xdr:rowOff>160020</xdr:rowOff>
    </xdr:from>
    <xdr:to>
      <xdr:col>11</xdr:col>
      <xdr:colOff>762000</xdr:colOff>
      <xdr:row>180</xdr:row>
      <xdr:rowOff>99060</xdr:rowOff>
    </xdr:to>
    <xdr:sp macro="" textlink="">
      <xdr:nvSpPr>
        <xdr:cNvPr id="19502" name="Text Box 46">
          <a:extLst>
            <a:ext uri="{FF2B5EF4-FFF2-40B4-BE49-F238E27FC236}">
              <a16:creationId xmlns:a16="http://schemas.microsoft.com/office/drawing/2014/main" id="{00000000-0008-0000-0F00-00002E4C0000}"/>
            </a:ext>
          </a:extLst>
        </xdr:cNvPr>
        <xdr:cNvSpPr txBox="1">
          <a:spLocks noChangeArrowheads="1"/>
        </xdr:cNvSpPr>
      </xdr:nvSpPr>
      <xdr:spPr bwMode="auto">
        <a:xfrm>
          <a:off x="12138660" y="38221920"/>
          <a:ext cx="10767060" cy="701040"/>
        </a:xfrm>
        <a:prstGeom prst="rect">
          <a:avLst/>
        </a:prstGeom>
        <a:solidFill>
          <a:srgbClr val="EAEAEA"/>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en-AU" sz="1200" b="0" i="0" u="none" strike="noStrike" baseline="0">
              <a:solidFill>
                <a:srgbClr val="000000"/>
              </a:solidFill>
              <a:latin typeface="Arial"/>
              <a:cs typeface="Arial"/>
            </a:rPr>
            <a:t>Note:</a:t>
          </a:r>
        </a:p>
        <a:p>
          <a:pPr algn="l" rtl="0">
            <a:defRPr sz="1000"/>
          </a:pPr>
          <a:r>
            <a:rPr lang="en-AU" sz="1200" b="0" i="0" u="none" strike="noStrike" baseline="0">
              <a:solidFill>
                <a:srgbClr val="000000"/>
              </a:solidFill>
              <a:latin typeface="Arial"/>
              <a:cs typeface="Arial"/>
            </a:rPr>
            <a:t>Adult Equivalents (AEs) for dry cattle are based on relativity to a standard weight of beast carried for 12 months.  One adult equivalent (AE) can be thought of as the amount of feed consumed in 12 months by a non-lactating animal of average weight 450 kg. Therefore, if average feed consumption is 2.2% of bodyweight, this would be equivalent to approx 3,650 kg dry matter per year for one AE.</a:t>
          </a:r>
        </a:p>
      </xdr:txBody>
    </xdr:sp>
    <xdr:clientData/>
  </xdr:twoCellAnchor>
  <xdr:twoCellAnchor>
    <xdr:from>
      <xdr:col>18</xdr:col>
      <xdr:colOff>441960</xdr:colOff>
      <xdr:row>0</xdr:row>
      <xdr:rowOff>0</xdr:rowOff>
    </xdr:from>
    <xdr:to>
      <xdr:col>20</xdr:col>
      <xdr:colOff>662940</xdr:colOff>
      <xdr:row>0</xdr:row>
      <xdr:rowOff>0</xdr:rowOff>
    </xdr:to>
    <xdr:sp macro="" textlink="">
      <xdr:nvSpPr>
        <xdr:cNvPr id="19503" name="AutoShape 47">
          <a:extLst>
            <a:ext uri="{FF2B5EF4-FFF2-40B4-BE49-F238E27FC236}">
              <a16:creationId xmlns:a16="http://schemas.microsoft.com/office/drawing/2014/main" id="{00000000-0008-0000-0F00-00002F4C0000}"/>
            </a:ext>
          </a:extLst>
        </xdr:cNvPr>
        <xdr:cNvSpPr>
          <a:spLocks noChangeArrowheads="1"/>
        </xdr:cNvSpPr>
      </xdr:nvSpPr>
      <xdr:spPr bwMode="auto">
        <a:xfrm>
          <a:off x="33268920" y="0"/>
          <a:ext cx="3238500" cy="0"/>
        </a:xfrm>
        <a:prstGeom prst="leftArrow">
          <a:avLst>
            <a:gd name="adj1" fmla="val 50000"/>
            <a:gd name="adj2" fmla="val -2147483648"/>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24</xdr:col>
      <xdr:colOff>144780</xdr:colOff>
      <xdr:row>0</xdr:row>
      <xdr:rowOff>0</xdr:rowOff>
    </xdr:from>
    <xdr:to>
      <xdr:col>24</xdr:col>
      <xdr:colOff>2606040</xdr:colOff>
      <xdr:row>0</xdr:row>
      <xdr:rowOff>0</xdr:rowOff>
    </xdr:to>
    <xdr:sp macro="" textlink="">
      <xdr:nvSpPr>
        <xdr:cNvPr id="19504" name="AutoShape 48">
          <a:extLst>
            <a:ext uri="{FF2B5EF4-FFF2-40B4-BE49-F238E27FC236}">
              <a16:creationId xmlns:a16="http://schemas.microsoft.com/office/drawing/2014/main" id="{00000000-0008-0000-0F00-0000304C0000}"/>
            </a:ext>
          </a:extLst>
        </xdr:cNvPr>
        <xdr:cNvSpPr>
          <a:spLocks noChangeArrowheads="1"/>
        </xdr:cNvSpPr>
      </xdr:nvSpPr>
      <xdr:spPr bwMode="auto">
        <a:xfrm flipH="1">
          <a:off x="40789860" y="0"/>
          <a:ext cx="2461260" cy="0"/>
        </a:xfrm>
        <a:prstGeom prst="leftArrow">
          <a:avLst>
            <a:gd name="adj1" fmla="val 50000"/>
            <a:gd name="adj2" fmla="val -2147483648"/>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18</xdr:col>
      <xdr:colOff>441960</xdr:colOff>
      <xdr:row>0</xdr:row>
      <xdr:rowOff>0</xdr:rowOff>
    </xdr:from>
    <xdr:to>
      <xdr:col>20</xdr:col>
      <xdr:colOff>662940</xdr:colOff>
      <xdr:row>0</xdr:row>
      <xdr:rowOff>0</xdr:rowOff>
    </xdr:to>
    <xdr:sp macro="" textlink="">
      <xdr:nvSpPr>
        <xdr:cNvPr id="19505" name="AutoShape 49">
          <a:extLst>
            <a:ext uri="{FF2B5EF4-FFF2-40B4-BE49-F238E27FC236}">
              <a16:creationId xmlns:a16="http://schemas.microsoft.com/office/drawing/2014/main" id="{00000000-0008-0000-0F00-0000314C0000}"/>
            </a:ext>
          </a:extLst>
        </xdr:cNvPr>
        <xdr:cNvSpPr>
          <a:spLocks noChangeArrowheads="1"/>
        </xdr:cNvSpPr>
      </xdr:nvSpPr>
      <xdr:spPr bwMode="auto">
        <a:xfrm>
          <a:off x="33268920" y="0"/>
          <a:ext cx="3238500" cy="0"/>
        </a:xfrm>
        <a:prstGeom prst="leftArrow">
          <a:avLst>
            <a:gd name="adj1" fmla="val 50000"/>
            <a:gd name="adj2" fmla="val -2147483648"/>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24</xdr:col>
      <xdr:colOff>144780</xdr:colOff>
      <xdr:row>0</xdr:row>
      <xdr:rowOff>0</xdr:rowOff>
    </xdr:from>
    <xdr:to>
      <xdr:col>24</xdr:col>
      <xdr:colOff>2606040</xdr:colOff>
      <xdr:row>0</xdr:row>
      <xdr:rowOff>0</xdr:rowOff>
    </xdr:to>
    <xdr:sp macro="" textlink="">
      <xdr:nvSpPr>
        <xdr:cNvPr id="19506" name="AutoShape 50">
          <a:extLst>
            <a:ext uri="{FF2B5EF4-FFF2-40B4-BE49-F238E27FC236}">
              <a16:creationId xmlns:a16="http://schemas.microsoft.com/office/drawing/2014/main" id="{00000000-0008-0000-0F00-0000324C0000}"/>
            </a:ext>
          </a:extLst>
        </xdr:cNvPr>
        <xdr:cNvSpPr>
          <a:spLocks noChangeArrowheads="1"/>
        </xdr:cNvSpPr>
      </xdr:nvSpPr>
      <xdr:spPr bwMode="auto">
        <a:xfrm flipH="1">
          <a:off x="40789860" y="0"/>
          <a:ext cx="2461260" cy="0"/>
        </a:xfrm>
        <a:prstGeom prst="leftArrow">
          <a:avLst>
            <a:gd name="adj1" fmla="val 50000"/>
            <a:gd name="adj2" fmla="val -2147483648"/>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106680</xdr:colOff>
      <xdr:row>0</xdr:row>
      <xdr:rowOff>0</xdr:rowOff>
    </xdr:from>
    <xdr:to>
      <xdr:col>9</xdr:col>
      <xdr:colOff>1043940</xdr:colOff>
      <xdr:row>0</xdr:row>
      <xdr:rowOff>0</xdr:rowOff>
    </xdr:to>
    <xdr:sp macro="" textlink="">
      <xdr:nvSpPr>
        <xdr:cNvPr id="19507" name="TextBox 3">
          <a:extLst>
            <a:ext uri="{FF2B5EF4-FFF2-40B4-BE49-F238E27FC236}">
              <a16:creationId xmlns:a16="http://schemas.microsoft.com/office/drawing/2014/main" id="{00000000-0008-0000-0F00-0000334C0000}"/>
            </a:ext>
          </a:extLst>
        </xdr:cNvPr>
        <xdr:cNvSpPr txBox="1">
          <a:spLocks noChangeArrowheads="1"/>
        </xdr:cNvSpPr>
      </xdr:nvSpPr>
      <xdr:spPr bwMode="auto">
        <a:xfrm>
          <a:off x="9707880" y="0"/>
          <a:ext cx="9654540" cy="0"/>
        </a:xfrm>
        <a:prstGeom prst="rect">
          <a:avLst/>
        </a:prstGeom>
        <a:solidFill>
          <a:srgbClr val="EEECE1"/>
        </a:solidFill>
        <a:ln w="9525">
          <a:solidFill>
            <a:srgbClr val="000000"/>
          </a:solidFill>
          <a:miter lim="800000"/>
          <a:headEnd/>
          <a:tailEnd/>
        </a:ln>
      </xdr:spPr>
      <xdr:txBody>
        <a:bodyPr vertOverflow="clip" wrap="square" lIns="27432" tIns="18288" rIns="0" bIns="0" anchor="t"/>
        <a:lstStyle/>
        <a:p>
          <a:pPr algn="l" rtl="0">
            <a:defRPr sz="1000"/>
          </a:pPr>
          <a:r>
            <a:rPr lang="en-AU" sz="1200" b="0" i="0" u="none" strike="noStrike" baseline="0">
              <a:solidFill>
                <a:srgbClr val="000000"/>
              </a:solidFill>
              <a:latin typeface="Calibri"/>
              <a:cs typeface="Calibri"/>
            </a:rPr>
            <a:t>Please ensure that the values per head entered here reflect the  average value of the stock in the paddock at calving, not the market value when selling. The values you enter should reflect something along the lines of the values you might get in a "Clearout Sale".</a:t>
          </a:r>
        </a:p>
        <a:p>
          <a:pPr algn="l" rtl="0">
            <a:defRPr sz="1000"/>
          </a:pPr>
          <a:r>
            <a:rPr lang="en-AU" sz="1200" b="0" i="0" u="none" strike="noStrike" baseline="0">
              <a:solidFill>
                <a:srgbClr val="000000"/>
              </a:solidFill>
              <a:latin typeface="Calibri"/>
              <a:cs typeface="Calibri"/>
            </a:rPr>
            <a:t>These values are not used in this analysis to calculate the opportunity cost of livestock capital. Only the interest payable on the average annual livestock purchases is counted to allow comparison with other forages.  Please change the formula in D171 if all livestock capital is to be accounted for.</a:t>
          </a:r>
        </a:p>
      </xdr:txBody>
    </xdr:sp>
    <xdr:clientData/>
  </xdr:twoCellAnchor>
  <xdr:twoCellAnchor>
    <xdr:from>
      <xdr:col>18</xdr:col>
      <xdr:colOff>441960</xdr:colOff>
      <xdr:row>0</xdr:row>
      <xdr:rowOff>0</xdr:rowOff>
    </xdr:from>
    <xdr:to>
      <xdr:col>20</xdr:col>
      <xdr:colOff>662940</xdr:colOff>
      <xdr:row>0</xdr:row>
      <xdr:rowOff>0</xdr:rowOff>
    </xdr:to>
    <xdr:sp macro="" textlink="">
      <xdr:nvSpPr>
        <xdr:cNvPr id="19508" name="AutoShape 52">
          <a:extLst>
            <a:ext uri="{FF2B5EF4-FFF2-40B4-BE49-F238E27FC236}">
              <a16:creationId xmlns:a16="http://schemas.microsoft.com/office/drawing/2014/main" id="{00000000-0008-0000-0F00-0000344C0000}"/>
            </a:ext>
          </a:extLst>
        </xdr:cNvPr>
        <xdr:cNvSpPr>
          <a:spLocks noChangeArrowheads="1"/>
        </xdr:cNvSpPr>
      </xdr:nvSpPr>
      <xdr:spPr bwMode="auto">
        <a:xfrm>
          <a:off x="33268920" y="0"/>
          <a:ext cx="3238500" cy="0"/>
        </a:xfrm>
        <a:prstGeom prst="leftArrow">
          <a:avLst>
            <a:gd name="adj1" fmla="val 50000"/>
            <a:gd name="adj2" fmla="val -2147483648"/>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24</xdr:col>
      <xdr:colOff>144780</xdr:colOff>
      <xdr:row>0</xdr:row>
      <xdr:rowOff>0</xdr:rowOff>
    </xdr:from>
    <xdr:to>
      <xdr:col>24</xdr:col>
      <xdr:colOff>2606040</xdr:colOff>
      <xdr:row>0</xdr:row>
      <xdr:rowOff>0</xdr:rowOff>
    </xdr:to>
    <xdr:sp macro="" textlink="">
      <xdr:nvSpPr>
        <xdr:cNvPr id="19509" name="AutoShape 53">
          <a:extLst>
            <a:ext uri="{FF2B5EF4-FFF2-40B4-BE49-F238E27FC236}">
              <a16:creationId xmlns:a16="http://schemas.microsoft.com/office/drawing/2014/main" id="{00000000-0008-0000-0F00-0000354C0000}"/>
            </a:ext>
          </a:extLst>
        </xdr:cNvPr>
        <xdr:cNvSpPr>
          <a:spLocks noChangeArrowheads="1"/>
        </xdr:cNvSpPr>
      </xdr:nvSpPr>
      <xdr:spPr bwMode="auto">
        <a:xfrm flipH="1">
          <a:off x="40789860" y="0"/>
          <a:ext cx="2461260" cy="0"/>
        </a:xfrm>
        <a:prstGeom prst="leftArrow">
          <a:avLst>
            <a:gd name="adj1" fmla="val 50000"/>
            <a:gd name="adj2" fmla="val -2147483648"/>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22860</xdr:colOff>
      <xdr:row>0</xdr:row>
      <xdr:rowOff>0</xdr:rowOff>
    </xdr:from>
    <xdr:to>
      <xdr:col>10</xdr:col>
      <xdr:colOff>762000</xdr:colOff>
      <xdr:row>0</xdr:row>
      <xdr:rowOff>0</xdr:rowOff>
    </xdr:to>
    <xdr:sp macro="" textlink="">
      <xdr:nvSpPr>
        <xdr:cNvPr id="19510" name="Text Box 54">
          <a:extLst>
            <a:ext uri="{FF2B5EF4-FFF2-40B4-BE49-F238E27FC236}">
              <a16:creationId xmlns:a16="http://schemas.microsoft.com/office/drawing/2014/main" id="{00000000-0008-0000-0F00-0000364C0000}"/>
            </a:ext>
          </a:extLst>
        </xdr:cNvPr>
        <xdr:cNvSpPr txBox="1">
          <a:spLocks noChangeArrowheads="1"/>
        </xdr:cNvSpPr>
      </xdr:nvSpPr>
      <xdr:spPr bwMode="auto">
        <a:xfrm>
          <a:off x="9624060" y="0"/>
          <a:ext cx="11452860" cy="0"/>
        </a:xfrm>
        <a:prstGeom prst="rect">
          <a:avLst/>
        </a:prstGeom>
        <a:solidFill>
          <a:srgbClr val="EAEAEA"/>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en-AU" sz="1200" b="0" i="0" u="none" strike="noStrike" baseline="0">
              <a:solidFill>
                <a:srgbClr val="000000"/>
              </a:solidFill>
              <a:latin typeface="Arial"/>
              <a:cs typeface="Arial"/>
            </a:rPr>
            <a:t>Note:</a:t>
          </a:r>
        </a:p>
        <a:p>
          <a:pPr algn="l" rtl="0">
            <a:defRPr sz="1000"/>
          </a:pPr>
          <a:r>
            <a:rPr lang="en-AU" sz="1200" b="0" i="0" u="none" strike="noStrike" baseline="0">
              <a:solidFill>
                <a:srgbClr val="000000"/>
              </a:solidFill>
              <a:latin typeface="Arial"/>
              <a:cs typeface="Arial"/>
            </a:rPr>
            <a:t>Adult Equivalents (AEs) for dry cattle are based on relativity to a standard weight of beast carried for 12 months.  One adult equivalent (AE) can be thought of as the amount of feed consumed in 12 months by a non-lactating animal of average weight 450 kg. Therefore, if average feed consumption is 2.2% of bodyweight, this would be equivalent to approx 3,650 kg dry matter per year for one AE.</a:t>
          </a:r>
        </a:p>
      </xdr:txBody>
    </xdr:sp>
    <xdr:clientData/>
  </xdr:twoCellAnchor>
  <xdr:twoCellAnchor>
    <xdr:from>
      <xdr:col>5</xdr:col>
      <xdr:colOff>22860</xdr:colOff>
      <xdr:row>233</xdr:row>
      <xdr:rowOff>160020</xdr:rowOff>
    </xdr:from>
    <xdr:to>
      <xdr:col>10</xdr:col>
      <xdr:colOff>762000</xdr:colOff>
      <xdr:row>237</xdr:row>
      <xdr:rowOff>99060</xdr:rowOff>
    </xdr:to>
    <xdr:sp macro="" textlink="">
      <xdr:nvSpPr>
        <xdr:cNvPr id="19511" name="Text Box 55">
          <a:extLst>
            <a:ext uri="{FF2B5EF4-FFF2-40B4-BE49-F238E27FC236}">
              <a16:creationId xmlns:a16="http://schemas.microsoft.com/office/drawing/2014/main" id="{00000000-0008-0000-0F00-0000374C0000}"/>
            </a:ext>
          </a:extLst>
        </xdr:cNvPr>
        <xdr:cNvSpPr txBox="1">
          <a:spLocks noChangeArrowheads="1"/>
        </xdr:cNvSpPr>
      </xdr:nvSpPr>
      <xdr:spPr bwMode="auto">
        <a:xfrm>
          <a:off x="9624060" y="49080420"/>
          <a:ext cx="11452860" cy="701040"/>
        </a:xfrm>
        <a:prstGeom prst="rect">
          <a:avLst/>
        </a:prstGeom>
        <a:solidFill>
          <a:srgbClr val="EAEAEA"/>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en-AU" sz="1200" b="0" i="0" u="none" strike="noStrike" baseline="0">
              <a:solidFill>
                <a:srgbClr val="000000"/>
              </a:solidFill>
              <a:latin typeface="Arial"/>
              <a:cs typeface="Arial"/>
            </a:rPr>
            <a:t>Note:</a:t>
          </a:r>
        </a:p>
        <a:p>
          <a:pPr algn="l" rtl="0">
            <a:defRPr sz="1000"/>
          </a:pPr>
          <a:r>
            <a:rPr lang="en-AU" sz="1200" b="0" i="0" u="none" strike="noStrike" baseline="0">
              <a:solidFill>
                <a:srgbClr val="000000"/>
              </a:solidFill>
              <a:latin typeface="Arial"/>
              <a:cs typeface="Arial"/>
            </a:rPr>
            <a:t>Adult Equivalents (AEs) for dry cattle are based on relativity to a standard weight of beast carried for 12 months.  One adult equivalent (AE) can be thought of as the amount of feed consumed in 12 months by a non-lactating animal of average weight 450 kg. Therefore, if average feed consumption is 2.2% of bodyweight, this would be equivalent to approx 3,650 kg dry matter per year for one AE.</a:t>
          </a:r>
        </a:p>
      </xdr:txBody>
    </xdr:sp>
    <xdr:clientData/>
  </xdr:twoCellAnchor>
  <xdr:twoCellAnchor>
    <xdr:from>
      <xdr:col>18</xdr:col>
      <xdr:colOff>441960</xdr:colOff>
      <xdr:row>147</xdr:row>
      <xdr:rowOff>167640</xdr:rowOff>
    </xdr:from>
    <xdr:to>
      <xdr:col>20</xdr:col>
      <xdr:colOff>662940</xdr:colOff>
      <xdr:row>149</xdr:row>
      <xdr:rowOff>68580</xdr:rowOff>
    </xdr:to>
    <xdr:sp macro="" textlink="">
      <xdr:nvSpPr>
        <xdr:cNvPr id="19512" name="AutoShape 56">
          <a:extLst>
            <a:ext uri="{FF2B5EF4-FFF2-40B4-BE49-F238E27FC236}">
              <a16:creationId xmlns:a16="http://schemas.microsoft.com/office/drawing/2014/main" id="{00000000-0008-0000-0F00-0000384C0000}"/>
            </a:ext>
          </a:extLst>
        </xdr:cNvPr>
        <xdr:cNvSpPr>
          <a:spLocks noChangeArrowheads="1"/>
        </xdr:cNvSpPr>
      </xdr:nvSpPr>
      <xdr:spPr bwMode="auto">
        <a:xfrm>
          <a:off x="33268920" y="32529780"/>
          <a:ext cx="3238500" cy="289560"/>
        </a:xfrm>
        <a:prstGeom prst="leftArrow">
          <a:avLst>
            <a:gd name="adj1" fmla="val 50000"/>
            <a:gd name="adj2" fmla="val 279605"/>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24</xdr:col>
      <xdr:colOff>144780</xdr:colOff>
      <xdr:row>148</xdr:row>
      <xdr:rowOff>68580</xdr:rowOff>
    </xdr:from>
    <xdr:to>
      <xdr:col>24</xdr:col>
      <xdr:colOff>2598420</xdr:colOff>
      <xdr:row>149</xdr:row>
      <xdr:rowOff>182880</xdr:rowOff>
    </xdr:to>
    <xdr:sp macro="" textlink="">
      <xdr:nvSpPr>
        <xdr:cNvPr id="19513" name="AutoShape 57">
          <a:extLst>
            <a:ext uri="{FF2B5EF4-FFF2-40B4-BE49-F238E27FC236}">
              <a16:creationId xmlns:a16="http://schemas.microsoft.com/office/drawing/2014/main" id="{00000000-0008-0000-0F00-0000394C0000}"/>
            </a:ext>
          </a:extLst>
        </xdr:cNvPr>
        <xdr:cNvSpPr>
          <a:spLocks noChangeArrowheads="1"/>
        </xdr:cNvSpPr>
      </xdr:nvSpPr>
      <xdr:spPr bwMode="auto">
        <a:xfrm flipH="1">
          <a:off x="40789860" y="32628840"/>
          <a:ext cx="2453640" cy="304800"/>
        </a:xfrm>
        <a:prstGeom prst="leftArrow">
          <a:avLst>
            <a:gd name="adj1" fmla="val 50000"/>
            <a:gd name="adj2" fmla="val 201250"/>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18</xdr:col>
      <xdr:colOff>441960</xdr:colOff>
      <xdr:row>0</xdr:row>
      <xdr:rowOff>0</xdr:rowOff>
    </xdr:from>
    <xdr:to>
      <xdr:col>20</xdr:col>
      <xdr:colOff>662940</xdr:colOff>
      <xdr:row>0</xdr:row>
      <xdr:rowOff>0</xdr:rowOff>
    </xdr:to>
    <xdr:sp macro="" textlink="">
      <xdr:nvSpPr>
        <xdr:cNvPr id="19514" name="AutoShape 58">
          <a:extLst>
            <a:ext uri="{FF2B5EF4-FFF2-40B4-BE49-F238E27FC236}">
              <a16:creationId xmlns:a16="http://schemas.microsoft.com/office/drawing/2014/main" id="{00000000-0008-0000-0F00-00003A4C0000}"/>
            </a:ext>
          </a:extLst>
        </xdr:cNvPr>
        <xdr:cNvSpPr>
          <a:spLocks noChangeArrowheads="1"/>
        </xdr:cNvSpPr>
      </xdr:nvSpPr>
      <xdr:spPr bwMode="auto">
        <a:xfrm>
          <a:off x="33268920" y="0"/>
          <a:ext cx="3238500" cy="0"/>
        </a:xfrm>
        <a:prstGeom prst="leftArrow">
          <a:avLst>
            <a:gd name="adj1" fmla="val 50000"/>
            <a:gd name="adj2" fmla="val -2147483648"/>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24</xdr:col>
      <xdr:colOff>144780</xdr:colOff>
      <xdr:row>0</xdr:row>
      <xdr:rowOff>0</xdr:rowOff>
    </xdr:from>
    <xdr:to>
      <xdr:col>24</xdr:col>
      <xdr:colOff>2606040</xdr:colOff>
      <xdr:row>0</xdr:row>
      <xdr:rowOff>0</xdr:rowOff>
    </xdr:to>
    <xdr:sp macro="" textlink="">
      <xdr:nvSpPr>
        <xdr:cNvPr id="19515" name="AutoShape 59">
          <a:extLst>
            <a:ext uri="{FF2B5EF4-FFF2-40B4-BE49-F238E27FC236}">
              <a16:creationId xmlns:a16="http://schemas.microsoft.com/office/drawing/2014/main" id="{00000000-0008-0000-0F00-00003B4C0000}"/>
            </a:ext>
          </a:extLst>
        </xdr:cNvPr>
        <xdr:cNvSpPr>
          <a:spLocks noChangeArrowheads="1"/>
        </xdr:cNvSpPr>
      </xdr:nvSpPr>
      <xdr:spPr bwMode="auto">
        <a:xfrm flipH="1">
          <a:off x="40789860" y="0"/>
          <a:ext cx="2461260" cy="0"/>
        </a:xfrm>
        <a:prstGeom prst="leftArrow">
          <a:avLst>
            <a:gd name="adj1" fmla="val 50000"/>
            <a:gd name="adj2" fmla="val -2147483648"/>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18</xdr:col>
      <xdr:colOff>441960</xdr:colOff>
      <xdr:row>0</xdr:row>
      <xdr:rowOff>0</xdr:rowOff>
    </xdr:from>
    <xdr:to>
      <xdr:col>20</xdr:col>
      <xdr:colOff>662940</xdr:colOff>
      <xdr:row>0</xdr:row>
      <xdr:rowOff>0</xdr:rowOff>
    </xdr:to>
    <xdr:sp macro="" textlink="">
      <xdr:nvSpPr>
        <xdr:cNvPr id="19516" name="AutoShape 60">
          <a:extLst>
            <a:ext uri="{FF2B5EF4-FFF2-40B4-BE49-F238E27FC236}">
              <a16:creationId xmlns:a16="http://schemas.microsoft.com/office/drawing/2014/main" id="{00000000-0008-0000-0F00-00003C4C0000}"/>
            </a:ext>
          </a:extLst>
        </xdr:cNvPr>
        <xdr:cNvSpPr>
          <a:spLocks noChangeArrowheads="1"/>
        </xdr:cNvSpPr>
      </xdr:nvSpPr>
      <xdr:spPr bwMode="auto">
        <a:xfrm>
          <a:off x="33268920" y="0"/>
          <a:ext cx="3238500" cy="0"/>
        </a:xfrm>
        <a:prstGeom prst="leftArrow">
          <a:avLst>
            <a:gd name="adj1" fmla="val 50000"/>
            <a:gd name="adj2" fmla="val -2147483648"/>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24</xdr:col>
      <xdr:colOff>144780</xdr:colOff>
      <xdr:row>0</xdr:row>
      <xdr:rowOff>0</xdr:rowOff>
    </xdr:from>
    <xdr:to>
      <xdr:col>24</xdr:col>
      <xdr:colOff>2606040</xdr:colOff>
      <xdr:row>0</xdr:row>
      <xdr:rowOff>0</xdr:rowOff>
    </xdr:to>
    <xdr:sp macro="" textlink="">
      <xdr:nvSpPr>
        <xdr:cNvPr id="19517" name="AutoShape 61">
          <a:extLst>
            <a:ext uri="{FF2B5EF4-FFF2-40B4-BE49-F238E27FC236}">
              <a16:creationId xmlns:a16="http://schemas.microsoft.com/office/drawing/2014/main" id="{00000000-0008-0000-0F00-00003D4C0000}"/>
            </a:ext>
          </a:extLst>
        </xdr:cNvPr>
        <xdr:cNvSpPr>
          <a:spLocks noChangeArrowheads="1"/>
        </xdr:cNvSpPr>
      </xdr:nvSpPr>
      <xdr:spPr bwMode="auto">
        <a:xfrm flipH="1">
          <a:off x="40789860" y="0"/>
          <a:ext cx="2461260" cy="0"/>
        </a:xfrm>
        <a:prstGeom prst="leftArrow">
          <a:avLst>
            <a:gd name="adj1" fmla="val 50000"/>
            <a:gd name="adj2" fmla="val -2147483648"/>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106680</xdr:colOff>
      <xdr:row>0</xdr:row>
      <xdr:rowOff>0</xdr:rowOff>
    </xdr:from>
    <xdr:to>
      <xdr:col>9</xdr:col>
      <xdr:colOff>1043940</xdr:colOff>
      <xdr:row>0</xdr:row>
      <xdr:rowOff>0</xdr:rowOff>
    </xdr:to>
    <xdr:sp macro="" textlink="">
      <xdr:nvSpPr>
        <xdr:cNvPr id="19518" name="TextBox 3">
          <a:extLst>
            <a:ext uri="{FF2B5EF4-FFF2-40B4-BE49-F238E27FC236}">
              <a16:creationId xmlns:a16="http://schemas.microsoft.com/office/drawing/2014/main" id="{00000000-0008-0000-0F00-00003E4C0000}"/>
            </a:ext>
          </a:extLst>
        </xdr:cNvPr>
        <xdr:cNvSpPr txBox="1">
          <a:spLocks noChangeArrowheads="1"/>
        </xdr:cNvSpPr>
      </xdr:nvSpPr>
      <xdr:spPr bwMode="auto">
        <a:xfrm>
          <a:off x="9707880" y="0"/>
          <a:ext cx="9654540" cy="0"/>
        </a:xfrm>
        <a:prstGeom prst="rect">
          <a:avLst/>
        </a:prstGeom>
        <a:solidFill>
          <a:srgbClr val="EEECE1"/>
        </a:solidFill>
        <a:ln w="9525">
          <a:solidFill>
            <a:srgbClr val="000000"/>
          </a:solidFill>
          <a:miter lim="800000"/>
          <a:headEnd/>
          <a:tailEnd/>
        </a:ln>
      </xdr:spPr>
      <xdr:txBody>
        <a:bodyPr vertOverflow="clip" wrap="square" lIns="27432" tIns="18288" rIns="0" bIns="0" anchor="t"/>
        <a:lstStyle/>
        <a:p>
          <a:pPr algn="l" rtl="0">
            <a:defRPr sz="1000"/>
          </a:pPr>
          <a:r>
            <a:rPr lang="en-AU" sz="1200" b="0" i="0" u="none" strike="noStrike" baseline="0">
              <a:solidFill>
                <a:srgbClr val="000000"/>
              </a:solidFill>
              <a:latin typeface="Calibri"/>
              <a:cs typeface="Calibri"/>
            </a:rPr>
            <a:t>Please ensure that the values per head entered here reflect the  average value of the stock in the paddock at calving, not the market value when selling. The values you enter should reflect something along the lines of the values you might get in a "Clearout Sale".</a:t>
          </a:r>
        </a:p>
        <a:p>
          <a:pPr algn="l" rtl="0">
            <a:defRPr sz="1000"/>
          </a:pPr>
          <a:r>
            <a:rPr lang="en-AU" sz="1200" b="0" i="0" u="none" strike="noStrike" baseline="0">
              <a:solidFill>
                <a:srgbClr val="000000"/>
              </a:solidFill>
              <a:latin typeface="Calibri"/>
              <a:cs typeface="Calibri"/>
            </a:rPr>
            <a:t>These values are not used in this analysis to calculate the opportunity cost of livestock capital. Only the interest payable on the average annual livestock purchases is counted to allow comparison with other forages.  Please change the formula in D171 if all livestock capital is to be accounted for.</a:t>
          </a:r>
        </a:p>
      </xdr:txBody>
    </xdr:sp>
    <xdr:clientData/>
  </xdr:twoCellAnchor>
  <xdr:twoCellAnchor>
    <xdr:from>
      <xdr:col>18</xdr:col>
      <xdr:colOff>441960</xdr:colOff>
      <xdr:row>0</xdr:row>
      <xdr:rowOff>0</xdr:rowOff>
    </xdr:from>
    <xdr:to>
      <xdr:col>20</xdr:col>
      <xdr:colOff>662940</xdr:colOff>
      <xdr:row>0</xdr:row>
      <xdr:rowOff>0</xdr:rowOff>
    </xdr:to>
    <xdr:sp macro="" textlink="">
      <xdr:nvSpPr>
        <xdr:cNvPr id="19519" name="AutoShape 63">
          <a:extLst>
            <a:ext uri="{FF2B5EF4-FFF2-40B4-BE49-F238E27FC236}">
              <a16:creationId xmlns:a16="http://schemas.microsoft.com/office/drawing/2014/main" id="{00000000-0008-0000-0F00-00003F4C0000}"/>
            </a:ext>
          </a:extLst>
        </xdr:cNvPr>
        <xdr:cNvSpPr>
          <a:spLocks noChangeArrowheads="1"/>
        </xdr:cNvSpPr>
      </xdr:nvSpPr>
      <xdr:spPr bwMode="auto">
        <a:xfrm>
          <a:off x="33268920" y="0"/>
          <a:ext cx="3238500" cy="0"/>
        </a:xfrm>
        <a:prstGeom prst="leftArrow">
          <a:avLst>
            <a:gd name="adj1" fmla="val 50000"/>
            <a:gd name="adj2" fmla="val -2147483648"/>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24</xdr:col>
      <xdr:colOff>144780</xdr:colOff>
      <xdr:row>0</xdr:row>
      <xdr:rowOff>0</xdr:rowOff>
    </xdr:from>
    <xdr:to>
      <xdr:col>24</xdr:col>
      <xdr:colOff>2606040</xdr:colOff>
      <xdr:row>0</xdr:row>
      <xdr:rowOff>0</xdr:rowOff>
    </xdr:to>
    <xdr:sp macro="" textlink="">
      <xdr:nvSpPr>
        <xdr:cNvPr id="19520" name="AutoShape 64">
          <a:extLst>
            <a:ext uri="{FF2B5EF4-FFF2-40B4-BE49-F238E27FC236}">
              <a16:creationId xmlns:a16="http://schemas.microsoft.com/office/drawing/2014/main" id="{00000000-0008-0000-0F00-0000404C0000}"/>
            </a:ext>
          </a:extLst>
        </xdr:cNvPr>
        <xdr:cNvSpPr>
          <a:spLocks noChangeArrowheads="1"/>
        </xdr:cNvSpPr>
      </xdr:nvSpPr>
      <xdr:spPr bwMode="auto">
        <a:xfrm flipH="1">
          <a:off x="40789860" y="0"/>
          <a:ext cx="2461260" cy="0"/>
        </a:xfrm>
        <a:prstGeom prst="leftArrow">
          <a:avLst>
            <a:gd name="adj1" fmla="val 50000"/>
            <a:gd name="adj2" fmla="val -2147483648"/>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22860</xdr:colOff>
      <xdr:row>0</xdr:row>
      <xdr:rowOff>0</xdr:rowOff>
    </xdr:from>
    <xdr:to>
      <xdr:col>10</xdr:col>
      <xdr:colOff>762000</xdr:colOff>
      <xdr:row>0</xdr:row>
      <xdr:rowOff>0</xdr:rowOff>
    </xdr:to>
    <xdr:sp macro="" textlink="">
      <xdr:nvSpPr>
        <xdr:cNvPr id="19521" name="Text Box 65">
          <a:extLst>
            <a:ext uri="{FF2B5EF4-FFF2-40B4-BE49-F238E27FC236}">
              <a16:creationId xmlns:a16="http://schemas.microsoft.com/office/drawing/2014/main" id="{00000000-0008-0000-0F00-0000414C0000}"/>
            </a:ext>
          </a:extLst>
        </xdr:cNvPr>
        <xdr:cNvSpPr txBox="1">
          <a:spLocks noChangeArrowheads="1"/>
        </xdr:cNvSpPr>
      </xdr:nvSpPr>
      <xdr:spPr bwMode="auto">
        <a:xfrm>
          <a:off x="9624060" y="0"/>
          <a:ext cx="11452860" cy="0"/>
        </a:xfrm>
        <a:prstGeom prst="rect">
          <a:avLst/>
        </a:prstGeom>
        <a:solidFill>
          <a:srgbClr val="EAEAEA"/>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en-AU" sz="1200" b="0" i="0" u="none" strike="noStrike" baseline="0">
              <a:solidFill>
                <a:srgbClr val="000000"/>
              </a:solidFill>
              <a:latin typeface="Arial"/>
              <a:cs typeface="Arial"/>
            </a:rPr>
            <a:t>Note:</a:t>
          </a:r>
        </a:p>
        <a:p>
          <a:pPr algn="l" rtl="0">
            <a:defRPr sz="1000"/>
          </a:pPr>
          <a:r>
            <a:rPr lang="en-AU" sz="1200" b="0" i="0" u="none" strike="noStrike" baseline="0">
              <a:solidFill>
                <a:srgbClr val="000000"/>
              </a:solidFill>
              <a:latin typeface="Arial"/>
              <a:cs typeface="Arial"/>
            </a:rPr>
            <a:t>Adult Equivalents (AEs) for dry cattle are based on relativity to a standard weight of beast carried for 12 months.  One adult equivalent (AE) can be thought of as the amount of feed consumed in 12 months by a non-lactating animal of average weight 450 kg. Therefore, if average feed consumption is 2.2% of bodyweight, this would be equivalent to approx 3,650 kg dry matter per year for one AE.</a:t>
          </a:r>
        </a:p>
      </xdr:txBody>
    </xdr:sp>
    <xdr:clientData/>
  </xdr:twoCellAnchor>
  <xdr:twoCellAnchor>
    <xdr:from>
      <xdr:col>18</xdr:col>
      <xdr:colOff>441960</xdr:colOff>
      <xdr:row>102</xdr:row>
      <xdr:rowOff>167640</xdr:rowOff>
    </xdr:from>
    <xdr:to>
      <xdr:col>20</xdr:col>
      <xdr:colOff>662940</xdr:colOff>
      <xdr:row>104</xdr:row>
      <xdr:rowOff>68580</xdr:rowOff>
    </xdr:to>
    <xdr:sp macro="" textlink="">
      <xdr:nvSpPr>
        <xdr:cNvPr id="19522" name="AutoShape 66">
          <a:extLst>
            <a:ext uri="{FF2B5EF4-FFF2-40B4-BE49-F238E27FC236}">
              <a16:creationId xmlns:a16="http://schemas.microsoft.com/office/drawing/2014/main" id="{00000000-0008-0000-0F00-0000424C0000}"/>
            </a:ext>
          </a:extLst>
        </xdr:cNvPr>
        <xdr:cNvSpPr>
          <a:spLocks noChangeArrowheads="1"/>
        </xdr:cNvSpPr>
      </xdr:nvSpPr>
      <xdr:spPr bwMode="auto">
        <a:xfrm>
          <a:off x="33268920" y="23644860"/>
          <a:ext cx="3238500" cy="281940"/>
        </a:xfrm>
        <a:prstGeom prst="leftArrow">
          <a:avLst>
            <a:gd name="adj1" fmla="val 50000"/>
            <a:gd name="adj2" fmla="val 287162"/>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24</xdr:col>
      <xdr:colOff>144780</xdr:colOff>
      <xdr:row>103</xdr:row>
      <xdr:rowOff>68580</xdr:rowOff>
    </xdr:from>
    <xdr:to>
      <xdr:col>24</xdr:col>
      <xdr:colOff>2598420</xdr:colOff>
      <xdr:row>104</xdr:row>
      <xdr:rowOff>182880</xdr:rowOff>
    </xdr:to>
    <xdr:sp macro="" textlink="">
      <xdr:nvSpPr>
        <xdr:cNvPr id="19523" name="AutoShape 67">
          <a:extLst>
            <a:ext uri="{FF2B5EF4-FFF2-40B4-BE49-F238E27FC236}">
              <a16:creationId xmlns:a16="http://schemas.microsoft.com/office/drawing/2014/main" id="{00000000-0008-0000-0F00-0000434C0000}"/>
            </a:ext>
          </a:extLst>
        </xdr:cNvPr>
        <xdr:cNvSpPr>
          <a:spLocks noChangeArrowheads="1"/>
        </xdr:cNvSpPr>
      </xdr:nvSpPr>
      <xdr:spPr bwMode="auto">
        <a:xfrm flipH="1">
          <a:off x="40789860" y="23736300"/>
          <a:ext cx="2453640" cy="304800"/>
        </a:xfrm>
        <a:prstGeom prst="leftArrow">
          <a:avLst>
            <a:gd name="adj1" fmla="val 50000"/>
            <a:gd name="adj2" fmla="val 201250"/>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22860</xdr:colOff>
      <xdr:row>176</xdr:row>
      <xdr:rowOff>160020</xdr:rowOff>
    </xdr:from>
    <xdr:to>
      <xdr:col>11</xdr:col>
      <xdr:colOff>762000</xdr:colOff>
      <xdr:row>180</xdr:row>
      <xdr:rowOff>99060</xdr:rowOff>
    </xdr:to>
    <xdr:sp macro="" textlink="">
      <xdr:nvSpPr>
        <xdr:cNvPr id="19524" name="Text Box 68">
          <a:extLst>
            <a:ext uri="{FF2B5EF4-FFF2-40B4-BE49-F238E27FC236}">
              <a16:creationId xmlns:a16="http://schemas.microsoft.com/office/drawing/2014/main" id="{00000000-0008-0000-0F00-0000444C0000}"/>
            </a:ext>
          </a:extLst>
        </xdr:cNvPr>
        <xdr:cNvSpPr txBox="1">
          <a:spLocks noChangeArrowheads="1"/>
        </xdr:cNvSpPr>
      </xdr:nvSpPr>
      <xdr:spPr bwMode="auto">
        <a:xfrm>
          <a:off x="12138660" y="38221920"/>
          <a:ext cx="10767060" cy="701040"/>
        </a:xfrm>
        <a:prstGeom prst="rect">
          <a:avLst/>
        </a:prstGeom>
        <a:solidFill>
          <a:srgbClr val="EAEAEA"/>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en-AU" sz="1200" b="0" i="0" u="none" strike="noStrike" baseline="0">
              <a:solidFill>
                <a:srgbClr val="000000"/>
              </a:solidFill>
              <a:latin typeface="Arial"/>
              <a:cs typeface="Arial"/>
            </a:rPr>
            <a:t>Note:</a:t>
          </a:r>
        </a:p>
        <a:p>
          <a:pPr algn="l" rtl="0">
            <a:defRPr sz="1000"/>
          </a:pPr>
          <a:r>
            <a:rPr lang="en-AU" sz="1200" b="0" i="0" u="none" strike="noStrike" baseline="0">
              <a:solidFill>
                <a:srgbClr val="000000"/>
              </a:solidFill>
              <a:latin typeface="Arial"/>
              <a:cs typeface="Arial"/>
            </a:rPr>
            <a:t>Adult Equivalents (AEs) for dry cattle are based on relativity to a standard weight of beast carried for 12 months.  One adult equivalent (AE) can be thought of as the amount of feed consumed in 12 months by a non-lactating animal of average weight 450 kg. Therefore, if average feed consumption is 2.2% of bodyweight, this would be equivalent to approx 3,650 kg dry matter per year for one AE.</a:t>
          </a:r>
        </a:p>
      </xdr:txBody>
    </xdr:sp>
    <xdr:clientData/>
  </xdr:twoCellAnchor>
  <xdr:twoCellAnchor>
    <xdr:from>
      <xdr:col>18</xdr:col>
      <xdr:colOff>441960</xdr:colOff>
      <xdr:row>0</xdr:row>
      <xdr:rowOff>0</xdr:rowOff>
    </xdr:from>
    <xdr:to>
      <xdr:col>20</xdr:col>
      <xdr:colOff>662940</xdr:colOff>
      <xdr:row>0</xdr:row>
      <xdr:rowOff>0</xdr:rowOff>
    </xdr:to>
    <xdr:sp macro="" textlink="">
      <xdr:nvSpPr>
        <xdr:cNvPr id="19525" name="AutoShape 69">
          <a:extLst>
            <a:ext uri="{FF2B5EF4-FFF2-40B4-BE49-F238E27FC236}">
              <a16:creationId xmlns:a16="http://schemas.microsoft.com/office/drawing/2014/main" id="{00000000-0008-0000-0F00-0000454C0000}"/>
            </a:ext>
          </a:extLst>
        </xdr:cNvPr>
        <xdr:cNvSpPr>
          <a:spLocks noChangeArrowheads="1"/>
        </xdr:cNvSpPr>
      </xdr:nvSpPr>
      <xdr:spPr bwMode="auto">
        <a:xfrm>
          <a:off x="33268920" y="0"/>
          <a:ext cx="3238500" cy="0"/>
        </a:xfrm>
        <a:prstGeom prst="leftArrow">
          <a:avLst>
            <a:gd name="adj1" fmla="val 50000"/>
            <a:gd name="adj2" fmla="val -2147483648"/>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24</xdr:col>
      <xdr:colOff>144780</xdr:colOff>
      <xdr:row>0</xdr:row>
      <xdr:rowOff>0</xdr:rowOff>
    </xdr:from>
    <xdr:to>
      <xdr:col>24</xdr:col>
      <xdr:colOff>2606040</xdr:colOff>
      <xdr:row>0</xdr:row>
      <xdr:rowOff>0</xdr:rowOff>
    </xdr:to>
    <xdr:sp macro="" textlink="">
      <xdr:nvSpPr>
        <xdr:cNvPr id="19526" name="AutoShape 70">
          <a:extLst>
            <a:ext uri="{FF2B5EF4-FFF2-40B4-BE49-F238E27FC236}">
              <a16:creationId xmlns:a16="http://schemas.microsoft.com/office/drawing/2014/main" id="{00000000-0008-0000-0F00-0000464C0000}"/>
            </a:ext>
          </a:extLst>
        </xdr:cNvPr>
        <xdr:cNvSpPr>
          <a:spLocks noChangeArrowheads="1"/>
        </xdr:cNvSpPr>
      </xdr:nvSpPr>
      <xdr:spPr bwMode="auto">
        <a:xfrm flipH="1">
          <a:off x="40789860" y="0"/>
          <a:ext cx="2461260" cy="0"/>
        </a:xfrm>
        <a:prstGeom prst="leftArrow">
          <a:avLst>
            <a:gd name="adj1" fmla="val 50000"/>
            <a:gd name="adj2" fmla="val -2147483648"/>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18</xdr:col>
      <xdr:colOff>441960</xdr:colOff>
      <xdr:row>0</xdr:row>
      <xdr:rowOff>0</xdr:rowOff>
    </xdr:from>
    <xdr:to>
      <xdr:col>20</xdr:col>
      <xdr:colOff>662940</xdr:colOff>
      <xdr:row>0</xdr:row>
      <xdr:rowOff>0</xdr:rowOff>
    </xdr:to>
    <xdr:sp macro="" textlink="">
      <xdr:nvSpPr>
        <xdr:cNvPr id="19527" name="AutoShape 71">
          <a:extLst>
            <a:ext uri="{FF2B5EF4-FFF2-40B4-BE49-F238E27FC236}">
              <a16:creationId xmlns:a16="http://schemas.microsoft.com/office/drawing/2014/main" id="{00000000-0008-0000-0F00-0000474C0000}"/>
            </a:ext>
          </a:extLst>
        </xdr:cNvPr>
        <xdr:cNvSpPr>
          <a:spLocks noChangeArrowheads="1"/>
        </xdr:cNvSpPr>
      </xdr:nvSpPr>
      <xdr:spPr bwMode="auto">
        <a:xfrm>
          <a:off x="33268920" y="0"/>
          <a:ext cx="3238500" cy="0"/>
        </a:xfrm>
        <a:prstGeom prst="leftArrow">
          <a:avLst>
            <a:gd name="adj1" fmla="val 50000"/>
            <a:gd name="adj2" fmla="val -2147483648"/>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24</xdr:col>
      <xdr:colOff>144780</xdr:colOff>
      <xdr:row>0</xdr:row>
      <xdr:rowOff>0</xdr:rowOff>
    </xdr:from>
    <xdr:to>
      <xdr:col>24</xdr:col>
      <xdr:colOff>2606040</xdr:colOff>
      <xdr:row>0</xdr:row>
      <xdr:rowOff>0</xdr:rowOff>
    </xdr:to>
    <xdr:sp macro="" textlink="">
      <xdr:nvSpPr>
        <xdr:cNvPr id="19528" name="AutoShape 72">
          <a:extLst>
            <a:ext uri="{FF2B5EF4-FFF2-40B4-BE49-F238E27FC236}">
              <a16:creationId xmlns:a16="http://schemas.microsoft.com/office/drawing/2014/main" id="{00000000-0008-0000-0F00-0000484C0000}"/>
            </a:ext>
          </a:extLst>
        </xdr:cNvPr>
        <xdr:cNvSpPr>
          <a:spLocks noChangeArrowheads="1"/>
        </xdr:cNvSpPr>
      </xdr:nvSpPr>
      <xdr:spPr bwMode="auto">
        <a:xfrm flipH="1">
          <a:off x="40789860" y="0"/>
          <a:ext cx="2461260" cy="0"/>
        </a:xfrm>
        <a:prstGeom prst="leftArrow">
          <a:avLst>
            <a:gd name="adj1" fmla="val 50000"/>
            <a:gd name="adj2" fmla="val -2147483648"/>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106680</xdr:colOff>
      <xdr:row>0</xdr:row>
      <xdr:rowOff>0</xdr:rowOff>
    </xdr:from>
    <xdr:to>
      <xdr:col>9</xdr:col>
      <xdr:colOff>1043940</xdr:colOff>
      <xdr:row>0</xdr:row>
      <xdr:rowOff>0</xdr:rowOff>
    </xdr:to>
    <xdr:sp macro="" textlink="">
      <xdr:nvSpPr>
        <xdr:cNvPr id="19529" name="TextBox 3">
          <a:extLst>
            <a:ext uri="{FF2B5EF4-FFF2-40B4-BE49-F238E27FC236}">
              <a16:creationId xmlns:a16="http://schemas.microsoft.com/office/drawing/2014/main" id="{00000000-0008-0000-0F00-0000494C0000}"/>
            </a:ext>
          </a:extLst>
        </xdr:cNvPr>
        <xdr:cNvSpPr txBox="1">
          <a:spLocks noChangeArrowheads="1"/>
        </xdr:cNvSpPr>
      </xdr:nvSpPr>
      <xdr:spPr bwMode="auto">
        <a:xfrm>
          <a:off x="9707880" y="0"/>
          <a:ext cx="9654540" cy="0"/>
        </a:xfrm>
        <a:prstGeom prst="rect">
          <a:avLst/>
        </a:prstGeom>
        <a:solidFill>
          <a:srgbClr val="EEECE1"/>
        </a:solidFill>
        <a:ln w="9525">
          <a:solidFill>
            <a:srgbClr val="000000"/>
          </a:solidFill>
          <a:miter lim="800000"/>
          <a:headEnd/>
          <a:tailEnd/>
        </a:ln>
      </xdr:spPr>
      <xdr:txBody>
        <a:bodyPr vertOverflow="clip" wrap="square" lIns="27432" tIns="18288" rIns="0" bIns="0" anchor="t"/>
        <a:lstStyle/>
        <a:p>
          <a:pPr algn="l" rtl="0">
            <a:defRPr sz="1000"/>
          </a:pPr>
          <a:r>
            <a:rPr lang="en-AU" sz="1200" b="0" i="0" u="none" strike="noStrike" baseline="0">
              <a:solidFill>
                <a:srgbClr val="000000"/>
              </a:solidFill>
              <a:latin typeface="Calibri"/>
              <a:cs typeface="Calibri"/>
            </a:rPr>
            <a:t>Please ensure that the values per head entered here reflect the  average value of the stock in the paddock at calving, not the market value when selling. The values you enter should reflect something along the lines of the values you might get in a "Clearout Sale".</a:t>
          </a:r>
        </a:p>
        <a:p>
          <a:pPr algn="l" rtl="0">
            <a:defRPr sz="1000"/>
          </a:pPr>
          <a:r>
            <a:rPr lang="en-AU" sz="1200" b="0" i="0" u="none" strike="noStrike" baseline="0">
              <a:solidFill>
                <a:srgbClr val="000000"/>
              </a:solidFill>
              <a:latin typeface="Calibri"/>
              <a:cs typeface="Calibri"/>
            </a:rPr>
            <a:t>These values are not used in this analysis to calculate the opportunity cost of livestock capital. Only the interest payable on the average annual livestock purchases is counted to allow comparison with other forages.  Please change the formula in D171 if all livestock capital is to be accounted for.</a:t>
          </a:r>
        </a:p>
      </xdr:txBody>
    </xdr:sp>
    <xdr:clientData/>
  </xdr:twoCellAnchor>
  <xdr:twoCellAnchor>
    <xdr:from>
      <xdr:col>18</xdr:col>
      <xdr:colOff>441960</xdr:colOff>
      <xdr:row>0</xdr:row>
      <xdr:rowOff>0</xdr:rowOff>
    </xdr:from>
    <xdr:to>
      <xdr:col>20</xdr:col>
      <xdr:colOff>662940</xdr:colOff>
      <xdr:row>0</xdr:row>
      <xdr:rowOff>0</xdr:rowOff>
    </xdr:to>
    <xdr:sp macro="" textlink="">
      <xdr:nvSpPr>
        <xdr:cNvPr id="19530" name="AutoShape 74">
          <a:extLst>
            <a:ext uri="{FF2B5EF4-FFF2-40B4-BE49-F238E27FC236}">
              <a16:creationId xmlns:a16="http://schemas.microsoft.com/office/drawing/2014/main" id="{00000000-0008-0000-0F00-00004A4C0000}"/>
            </a:ext>
          </a:extLst>
        </xdr:cNvPr>
        <xdr:cNvSpPr>
          <a:spLocks noChangeArrowheads="1"/>
        </xdr:cNvSpPr>
      </xdr:nvSpPr>
      <xdr:spPr bwMode="auto">
        <a:xfrm>
          <a:off x="33268920" y="0"/>
          <a:ext cx="3238500" cy="0"/>
        </a:xfrm>
        <a:prstGeom prst="leftArrow">
          <a:avLst>
            <a:gd name="adj1" fmla="val 50000"/>
            <a:gd name="adj2" fmla="val -2147483648"/>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24</xdr:col>
      <xdr:colOff>144780</xdr:colOff>
      <xdr:row>0</xdr:row>
      <xdr:rowOff>0</xdr:rowOff>
    </xdr:from>
    <xdr:to>
      <xdr:col>24</xdr:col>
      <xdr:colOff>2606040</xdr:colOff>
      <xdr:row>0</xdr:row>
      <xdr:rowOff>0</xdr:rowOff>
    </xdr:to>
    <xdr:sp macro="" textlink="">
      <xdr:nvSpPr>
        <xdr:cNvPr id="19531" name="AutoShape 75">
          <a:extLst>
            <a:ext uri="{FF2B5EF4-FFF2-40B4-BE49-F238E27FC236}">
              <a16:creationId xmlns:a16="http://schemas.microsoft.com/office/drawing/2014/main" id="{00000000-0008-0000-0F00-00004B4C0000}"/>
            </a:ext>
          </a:extLst>
        </xdr:cNvPr>
        <xdr:cNvSpPr>
          <a:spLocks noChangeArrowheads="1"/>
        </xdr:cNvSpPr>
      </xdr:nvSpPr>
      <xdr:spPr bwMode="auto">
        <a:xfrm flipH="1">
          <a:off x="40789860" y="0"/>
          <a:ext cx="2461260" cy="0"/>
        </a:xfrm>
        <a:prstGeom prst="leftArrow">
          <a:avLst>
            <a:gd name="adj1" fmla="val 50000"/>
            <a:gd name="adj2" fmla="val -2147483648"/>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22860</xdr:colOff>
      <xdr:row>0</xdr:row>
      <xdr:rowOff>0</xdr:rowOff>
    </xdr:from>
    <xdr:to>
      <xdr:col>10</xdr:col>
      <xdr:colOff>762000</xdr:colOff>
      <xdr:row>0</xdr:row>
      <xdr:rowOff>0</xdr:rowOff>
    </xdr:to>
    <xdr:sp macro="" textlink="">
      <xdr:nvSpPr>
        <xdr:cNvPr id="19532" name="Text Box 76">
          <a:extLst>
            <a:ext uri="{FF2B5EF4-FFF2-40B4-BE49-F238E27FC236}">
              <a16:creationId xmlns:a16="http://schemas.microsoft.com/office/drawing/2014/main" id="{00000000-0008-0000-0F00-00004C4C0000}"/>
            </a:ext>
          </a:extLst>
        </xdr:cNvPr>
        <xdr:cNvSpPr txBox="1">
          <a:spLocks noChangeArrowheads="1"/>
        </xdr:cNvSpPr>
      </xdr:nvSpPr>
      <xdr:spPr bwMode="auto">
        <a:xfrm>
          <a:off x="9624060" y="0"/>
          <a:ext cx="11452860" cy="0"/>
        </a:xfrm>
        <a:prstGeom prst="rect">
          <a:avLst/>
        </a:prstGeom>
        <a:solidFill>
          <a:srgbClr val="EAEAEA"/>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en-AU" sz="1200" b="0" i="0" u="none" strike="noStrike" baseline="0">
              <a:solidFill>
                <a:srgbClr val="000000"/>
              </a:solidFill>
              <a:latin typeface="Arial"/>
              <a:cs typeface="Arial"/>
            </a:rPr>
            <a:t>Note:</a:t>
          </a:r>
        </a:p>
        <a:p>
          <a:pPr algn="l" rtl="0">
            <a:defRPr sz="1000"/>
          </a:pPr>
          <a:r>
            <a:rPr lang="en-AU" sz="1200" b="0" i="0" u="none" strike="noStrike" baseline="0">
              <a:solidFill>
                <a:srgbClr val="000000"/>
              </a:solidFill>
              <a:latin typeface="Arial"/>
              <a:cs typeface="Arial"/>
            </a:rPr>
            <a:t>Adult Equivalents (AEs) for dry cattle are based on relativity to a standard weight of beast carried for 12 months.  One adult equivalent (AE) can be thought of as the amount of feed consumed in 12 months by a non-lactating animal of average weight 450 kg. Therefore, if average feed consumption is 2.2% of bodyweight, this would be equivalent to approx 3,650 kg dry matter per year for one AE.</a:t>
          </a:r>
        </a:p>
      </xdr:txBody>
    </xdr:sp>
    <xdr:clientData/>
  </xdr:twoCellAnchor>
  <xdr:twoCellAnchor>
    <xdr:from>
      <xdr:col>18</xdr:col>
      <xdr:colOff>441960</xdr:colOff>
      <xdr:row>102</xdr:row>
      <xdr:rowOff>167640</xdr:rowOff>
    </xdr:from>
    <xdr:to>
      <xdr:col>20</xdr:col>
      <xdr:colOff>662940</xdr:colOff>
      <xdr:row>104</xdr:row>
      <xdr:rowOff>68580</xdr:rowOff>
    </xdr:to>
    <xdr:sp macro="" textlink="">
      <xdr:nvSpPr>
        <xdr:cNvPr id="19533" name="AutoShape 77">
          <a:extLst>
            <a:ext uri="{FF2B5EF4-FFF2-40B4-BE49-F238E27FC236}">
              <a16:creationId xmlns:a16="http://schemas.microsoft.com/office/drawing/2014/main" id="{00000000-0008-0000-0F00-00004D4C0000}"/>
            </a:ext>
          </a:extLst>
        </xdr:cNvPr>
        <xdr:cNvSpPr>
          <a:spLocks noChangeArrowheads="1"/>
        </xdr:cNvSpPr>
      </xdr:nvSpPr>
      <xdr:spPr bwMode="auto">
        <a:xfrm>
          <a:off x="33268920" y="23644860"/>
          <a:ext cx="3238500" cy="281940"/>
        </a:xfrm>
        <a:prstGeom prst="leftArrow">
          <a:avLst>
            <a:gd name="adj1" fmla="val 50000"/>
            <a:gd name="adj2" fmla="val 287162"/>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24</xdr:col>
      <xdr:colOff>144780</xdr:colOff>
      <xdr:row>103</xdr:row>
      <xdr:rowOff>68580</xdr:rowOff>
    </xdr:from>
    <xdr:to>
      <xdr:col>24</xdr:col>
      <xdr:colOff>2598420</xdr:colOff>
      <xdr:row>104</xdr:row>
      <xdr:rowOff>182880</xdr:rowOff>
    </xdr:to>
    <xdr:sp macro="" textlink="">
      <xdr:nvSpPr>
        <xdr:cNvPr id="19534" name="AutoShape 78">
          <a:extLst>
            <a:ext uri="{FF2B5EF4-FFF2-40B4-BE49-F238E27FC236}">
              <a16:creationId xmlns:a16="http://schemas.microsoft.com/office/drawing/2014/main" id="{00000000-0008-0000-0F00-00004E4C0000}"/>
            </a:ext>
          </a:extLst>
        </xdr:cNvPr>
        <xdr:cNvSpPr>
          <a:spLocks noChangeArrowheads="1"/>
        </xdr:cNvSpPr>
      </xdr:nvSpPr>
      <xdr:spPr bwMode="auto">
        <a:xfrm flipH="1">
          <a:off x="40789860" y="23736300"/>
          <a:ext cx="2453640" cy="304800"/>
        </a:xfrm>
        <a:prstGeom prst="leftArrow">
          <a:avLst>
            <a:gd name="adj1" fmla="val 50000"/>
            <a:gd name="adj2" fmla="val 201250"/>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22860</xdr:colOff>
      <xdr:row>176</xdr:row>
      <xdr:rowOff>160020</xdr:rowOff>
    </xdr:from>
    <xdr:to>
      <xdr:col>11</xdr:col>
      <xdr:colOff>762000</xdr:colOff>
      <xdr:row>180</xdr:row>
      <xdr:rowOff>99060</xdr:rowOff>
    </xdr:to>
    <xdr:sp macro="" textlink="">
      <xdr:nvSpPr>
        <xdr:cNvPr id="19535" name="Text Box 79">
          <a:extLst>
            <a:ext uri="{FF2B5EF4-FFF2-40B4-BE49-F238E27FC236}">
              <a16:creationId xmlns:a16="http://schemas.microsoft.com/office/drawing/2014/main" id="{00000000-0008-0000-0F00-00004F4C0000}"/>
            </a:ext>
          </a:extLst>
        </xdr:cNvPr>
        <xdr:cNvSpPr txBox="1">
          <a:spLocks noChangeArrowheads="1"/>
        </xdr:cNvSpPr>
      </xdr:nvSpPr>
      <xdr:spPr bwMode="auto">
        <a:xfrm>
          <a:off x="12138660" y="38221920"/>
          <a:ext cx="10767060" cy="701040"/>
        </a:xfrm>
        <a:prstGeom prst="rect">
          <a:avLst/>
        </a:prstGeom>
        <a:solidFill>
          <a:srgbClr val="EAEAEA"/>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en-AU" sz="1200" b="0" i="0" u="none" strike="noStrike" baseline="0">
              <a:solidFill>
                <a:srgbClr val="000000"/>
              </a:solidFill>
              <a:latin typeface="Arial"/>
              <a:cs typeface="Arial"/>
            </a:rPr>
            <a:t>Note:</a:t>
          </a:r>
        </a:p>
        <a:p>
          <a:pPr algn="l" rtl="0">
            <a:defRPr sz="1000"/>
          </a:pPr>
          <a:r>
            <a:rPr lang="en-AU" sz="1200" b="0" i="0" u="none" strike="noStrike" baseline="0">
              <a:solidFill>
                <a:srgbClr val="000000"/>
              </a:solidFill>
              <a:latin typeface="Arial"/>
              <a:cs typeface="Arial"/>
            </a:rPr>
            <a:t>Adult Equivalents (AEs) for dry cattle are based on relativity to a standard weight of beast carried for 12 months.  One adult equivalent (AE) can be thought of as the amount of feed consumed in 12 months by a non-lactating animal of average weight 450 kg. Therefore, if average feed consumption is 2.2% of bodyweight, this would be equivalent to approx 3,650 kg dry matter per year for one AE.</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18</xdr:col>
      <xdr:colOff>441960</xdr:colOff>
      <xdr:row>0</xdr:row>
      <xdr:rowOff>0</xdr:rowOff>
    </xdr:from>
    <xdr:to>
      <xdr:col>20</xdr:col>
      <xdr:colOff>662940</xdr:colOff>
      <xdr:row>0</xdr:row>
      <xdr:rowOff>0</xdr:rowOff>
    </xdr:to>
    <xdr:sp macro="" textlink="">
      <xdr:nvSpPr>
        <xdr:cNvPr id="20481" name="AutoShape 1">
          <a:extLst>
            <a:ext uri="{FF2B5EF4-FFF2-40B4-BE49-F238E27FC236}">
              <a16:creationId xmlns:a16="http://schemas.microsoft.com/office/drawing/2014/main" id="{00000000-0008-0000-1000-000001500000}"/>
            </a:ext>
          </a:extLst>
        </xdr:cNvPr>
        <xdr:cNvSpPr>
          <a:spLocks noChangeArrowheads="1"/>
        </xdr:cNvSpPr>
      </xdr:nvSpPr>
      <xdr:spPr bwMode="auto">
        <a:xfrm>
          <a:off x="33268920" y="0"/>
          <a:ext cx="3238500" cy="0"/>
        </a:xfrm>
        <a:prstGeom prst="leftArrow">
          <a:avLst>
            <a:gd name="adj1" fmla="val 50000"/>
            <a:gd name="adj2" fmla="val -2147483648"/>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24</xdr:col>
      <xdr:colOff>144780</xdr:colOff>
      <xdr:row>0</xdr:row>
      <xdr:rowOff>0</xdr:rowOff>
    </xdr:from>
    <xdr:to>
      <xdr:col>24</xdr:col>
      <xdr:colOff>2606040</xdr:colOff>
      <xdr:row>0</xdr:row>
      <xdr:rowOff>0</xdr:rowOff>
    </xdr:to>
    <xdr:sp macro="" textlink="">
      <xdr:nvSpPr>
        <xdr:cNvPr id="20482" name="AutoShape 2">
          <a:extLst>
            <a:ext uri="{FF2B5EF4-FFF2-40B4-BE49-F238E27FC236}">
              <a16:creationId xmlns:a16="http://schemas.microsoft.com/office/drawing/2014/main" id="{00000000-0008-0000-1000-000002500000}"/>
            </a:ext>
          </a:extLst>
        </xdr:cNvPr>
        <xdr:cNvSpPr>
          <a:spLocks noChangeArrowheads="1"/>
        </xdr:cNvSpPr>
      </xdr:nvSpPr>
      <xdr:spPr bwMode="auto">
        <a:xfrm flipH="1">
          <a:off x="40789860" y="0"/>
          <a:ext cx="2461260" cy="0"/>
        </a:xfrm>
        <a:prstGeom prst="leftArrow">
          <a:avLst>
            <a:gd name="adj1" fmla="val 50000"/>
            <a:gd name="adj2" fmla="val -2147483648"/>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18</xdr:col>
      <xdr:colOff>441960</xdr:colOff>
      <xdr:row>0</xdr:row>
      <xdr:rowOff>0</xdr:rowOff>
    </xdr:from>
    <xdr:to>
      <xdr:col>20</xdr:col>
      <xdr:colOff>662940</xdr:colOff>
      <xdr:row>0</xdr:row>
      <xdr:rowOff>0</xdr:rowOff>
    </xdr:to>
    <xdr:sp macro="" textlink="">
      <xdr:nvSpPr>
        <xdr:cNvPr id="20483" name="AutoShape 3">
          <a:extLst>
            <a:ext uri="{FF2B5EF4-FFF2-40B4-BE49-F238E27FC236}">
              <a16:creationId xmlns:a16="http://schemas.microsoft.com/office/drawing/2014/main" id="{00000000-0008-0000-1000-000003500000}"/>
            </a:ext>
          </a:extLst>
        </xdr:cNvPr>
        <xdr:cNvSpPr>
          <a:spLocks noChangeArrowheads="1"/>
        </xdr:cNvSpPr>
      </xdr:nvSpPr>
      <xdr:spPr bwMode="auto">
        <a:xfrm>
          <a:off x="33268920" y="0"/>
          <a:ext cx="3238500" cy="0"/>
        </a:xfrm>
        <a:prstGeom prst="leftArrow">
          <a:avLst>
            <a:gd name="adj1" fmla="val 50000"/>
            <a:gd name="adj2" fmla="val -2147483648"/>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24</xdr:col>
      <xdr:colOff>144780</xdr:colOff>
      <xdr:row>0</xdr:row>
      <xdr:rowOff>0</xdr:rowOff>
    </xdr:from>
    <xdr:to>
      <xdr:col>24</xdr:col>
      <xdr:colOff>2606040</xdr:colOff>
      <xdr:row>0</xdr:row>
      <xdr:rowOff>0</xdr:rowOff>
    </xdr:to>
    <xdr:sp macro="" textlink="">
      <xdr:nvSpPr>
        <xdr:cNvPr id="20484" name="AutoShape 4">
          <a:extLst>
            <a:ext uri="{FF2B5EF4-FFF2-40B4-BE49-F238E27FC236}">
              <a16:creationId xmlns:a16="http://schemas.microsoft.com/office/drawing/2014/main" id="{00000000-0008-0000-1000-000004500000}"/>
            </a:ext>
          </a:extLst>
        </xdr:cNvPr>
        <xdr:cNvSpPr>
          <a:spLocks noChangeArrowheads="1"/>
        </xdr:cNvSpPr>
      </xdr:nvSpPr>
      <xdr:spPr bwMode="auto">
        <a:xfrm flipH="1">
          <a:off x="40789860" y="0"/>
          <a:ext cx="2461260" cy="0"/>
        </a:xfrm>
        <a:prstGeom prst="leftArrow">
          <a:avLst>
            <a:gd name="adj1" fmla="val 50000"/>
            <a:gd name="adj2" fmla="val -2147483648"/>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106680</xdr:colOff>
      <xdr:row>0</xdr:row>
      <xdr:rowOff>0</xdr:rowOff>
    </xdr:from>
    <xdr:to>
      <xdr:col>9</xdr:col>
      <xdr:colOff>1043940</xdr:colOff>
      <xdr:row>0</xdr:row>
      <xdr:rowOff>0</xdr:rowOff>
    </xdr:to>
    <xdr:sp macro="" textlink="">
      <xdr:nvSpPr>
        <xdr:cNvPr id="20485" name="TextBox 3">
          <a:extLst>
            <a:ext uri="{FF2B5EF4-FFF2-40B4-BE49-F238E27FC236}">
              <a16:creationId xmlns:a16="http://schemas.microsoft.com/office/drawing/2014/main" id="{00000000-0008-0000-1000-000005500000}"/>
            </a:ext>
          </a:extLst>
        </xdr:cNvPr>
        <xdr:cNvSpPr txBox="1">
          <a:spLocks noChangeArrowheads="1"/>
        </xdr:cNvSpPr>
      </xdr:nvSpPr>
      <xdr:spPr bwMode="auto">
        <a:xfrm>
          <a:off x="9707880" y="0"/>
          <a:ext cx="9654540" cy="0"/>
        </a:xfrm>
        <a:prstGeom prst="rect">
          <a:avLst/>
        </a:prstGeom>
        <a:solidFill>
          <a:srgbClr val="EEECE1"/>
        </a:solidFill>
        <a:ln w="9525">
          <a:solidFill>
            <a:srgbClr val="000000"/>
          </a:solidFill>
          <a:miter lim="800000"/>
          <a:headEnd/>
          <a:tailEnd/>
        </a:ln>
      </xdr:spPr>
      <xdr:txBody>
        <a:bodyPr vertOverflow="clip" wrap="square" lIns="27432" tIns="18288" rIns="0" bIns="0" anchor="t"/>
        <a:lstStyle/>
        <a:p>
          <a:pPr algn="l" rtl="0">
            <a:defRPr sz="1000"/>
          </a:pPr>
          <a:r>
            <a:rPr lang="en-AU" sz="1200" b="0" i="0" u="none" strike="noStrike" baseline="0">
              <a:solidFill>
                <a:srgbClr val="000000"/>
              </a:solidFill>
              <a:latin typeface="Calibri"/>
              <a:cs typeface="Calibri"/>
            </a:rPr>
            <a:t>Please ensure that the values per head entered here reflect the  average value of the stock in the paddock at calving, not the market value when selling. The values you enter should reflect something along the lines of the values you might get in a "Clearout Sale".</a:t>
          </a:r>
        </a:p>
        <a:p>
          <a:pPr algn="l" rtl="0">
            <a:defRPr sz="1000"/>
          </a:pPr>
          <a:r>
            <a:rPr lang="en-AU" sz="1200" b="0" i="0" u="none" strike="noStrike" baseline="0">
              <a:solidFill>
                <a:srgbClr val="000000"/>
              </a:solidFill>
              <a:latin typeface="Calibri"/>
              <a:cs typeface="Calibri"/>
            </a:rPr>
            <a:t>These values are not used in this analysis to calculate the opportunity cost of livestock capital. Only the interest payable on the average annual livestock purchases is counted to allow comparison with other forages.  Please change the formula in D171 if all livestock capital is to be accounted for.</a:t>
          </a:r>
        </a:p>
      </xdr:txBody>
    </xdr:sp>
    <xdr:clientData/>
  </xdr:twoCellAnchor>
  <xdr:twoCellAnchor>
    <xdr:from>
      <xdr:col>18</xdr:col>
      <xdr:colOff>441960</xdr:colOff>
      <xdr:row>0</xdr:row>
      <xdr:rowOff>0</xdr:rowOff>
    </xdr:from>
    <xdr:to>
      <xdr:col>20</xdr:col>
      <xdr:colOff>662940</xdr:colOff>
      <xdr:row>0</xdr:row>
      <xdr:rowOff>0</xdr:rowOff>
    </xdr:to>
    <xdr:sp macro="" textlink="">
      <xdr:nvSpPr>
        <xdr:cNvPr id="20486" name="AutoShape 6">
          <a:extLst>
            <a:ext uri="{FF2B5EF4-FFF2-40B4-BE49-F238E27FC236}">
              <a16:creationId xmlns:a16="http://schemas.microsoft.com/office/drawing/2014/main" id="{00000000-0008-0000-1000-000006500000}"/>
            </a:ext>
          </a:extLst>
        </xdr:cNvPr>
        <xdr:cNvSpPr>
          <a:spLocks noChangeArrowheads="1"/>
        </xdr:cNvSpPr>
      </xdr:nvSpPr>
      <xdr:spPr bwMode="auto">
        <a:xfrm>
          <a:off x="33268920" y="0"/>
          <a:ext cx="3238500" cy="0"/>
        </a:xfrm>
        <a:prstGeom prst="leftArrow">
          <a:avLst>
            <a:gd name="adj1" fmla="val 50000"/>
            <a:gd name="adj2" fmla="val -2147483648"/>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24</xdr:col>
      <xdr:colOff>144780</xdr:colOff>
      <xdr:row>0</xdr:row>
      <xdr:rowOff>0</xdr:rowOff>
    </xdr:from>
    <xdr:to>
      <xdr:col>24</xdr:col>
      <xdr:colOff>2606040</xdr:colOff>
      <xdr:row>0</xdr:row>
      <xdr:rowOff>0</xdr:rowOff>
    </xdr:to>
    <xdr:sp macro="" textlink="">
      <xdr:nvSpPr>
        <xdr:cNvPr id="20487" name="AutoShape 7">
          <a:extLst>
            <a:ext uri="{FF2B5EF4-FFF2-40B4-BE49-F238E27FC236}">
              <a16:creationId xmlns:a16="http://schemas.microsoft.com/office/drawing/2014/main" id="{00000000-0008-0000-1000-000007500000}"/>
            </a:ext>
          </a:extLst>
        </xdr:cNvPr>
        <xdr:cNvSpPr>
          <a:spLocks noChangeArrowheads="1"/>
        </xdr:cNvSpPr>
      </xdr:nvSpPr>
      <xdr:spPr bwMode="auto">
        <a:xfrm flipH="1">
          <a:off x="40789860" y="0"/>
          <a:ext cx="2461260" cy="0"/>
        </a:xfrm>
        <a:prstGeom prst="leftArrow">
          <a:avLst>
            <a:gd name="adj1" fmla="val 50000"/>
            <a:gd name="adj2" fmla="val -2147483648"/>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22860</xdr:colOff>
      <xdr:row>0</xdr:row>
      <xdr:rowOff>0</xdr:rowOff>
    </xdr:from>
    <xdr:to>
      <xdr:col>10</xdr:col>
      <xdr:colOff>762000</xdr:colOff>
      <xdr:row>0</xdr:row>
      <xdr:rowOff>0</xdr:rowOff>
    </xdr:to>
    <xdr:sp macro="" textlink="">
      <xdr:nvSpPr>
        <xdr:cNvPr id="20488" name="Text Box 8">
          <a:extLst>
            <a:ext uri="{FF2B5EF4-FFF2-40B4-BE49-F238E27FC236}">
              <a16:creationId xmlns:a16="http://schemas.microsoft.com/office/drawing/2014/main" id="{00000000-0008-0000-1000-000008500000}"/>
            </a:ext>
          </a:extLst>
        </xdr:cNvPr>
        <xdr:cNvSpPr txBox="1">
          <a:spLocks noChangeArrowheads="1"/>
        </xdr:cNvSpPr>
      </xdr:nvSpPr>
      <xdr:spPr bwMode="auto">
        <a:xfrm>
          <a:off x="9624060" y="0"/>
          <a:ext cx="11452860" cy="0"/>
        </a:xfrm>
        <a:prstGeom prst="rect">
          <a:avLst/>
        </a:prstGeom>
        <a:solidFill>
          <a:srgbClr val="EAEAEA"/>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en-AU" sz="1200" b="0" i="0" u="none" strike="noStrike" baseline="0">
              <a:solidFill>
                <a:srgbClr val="000000"/>
              </a:solidFill>
              <a:latin typeface="Arial"/>
              <a:cs typeface="Arial"/>
            </a:rPr>
            <a:t>Note:</a:t>
          </a:r>
        </a:p>
        <a:p>
          <a:pPr algn="l" rtl="0">
            <a:defRPr sz="1000"/>
          </a:pPr>
          <a:r>
            <a:rPr lang="en-AU" sz="1200" b="0" i="0" u="none" strike="noStrike" baseline="0">
              <a:solidFill>
                <a:srgbClr val="000000"/>
              </a:solidFill>
              <a:latin typeface="Arial"/>
              <a:cs typeface="Arial"/>
            </a:rPr>
            <a:t>Adult Equivalents (AEs) for dry cattle are based on relativity to a standard weight of beast carried for 12 months.  One adult equivalent (AE) can be thought of as the amount of feed consumed in 12 months by a non-lactating animal of average weight 450 kg. Therefore, if average feed consumption is 2.2% of bodyweight, this would be equivalent to approx 3,650 kg dry matter per year for one AE.</a:t>
          </a:r>
        </a:p>
      </xdr:txBody>
    </xdr:sp>
    <xdr:clientData/>
  </xdr:twoCellAnchor>
  <xdr:twoCellAnchor>
    <xdr:from>
      <xdr:col>18</xdr:col>
      <xdr:colOff>441960</xdr:colOff>
      <xdr:row>102</xdr:row>
      <xdr:rowOff>167640</xdr:rowOff>
    </xdr:from>
    <xdr:to>
      <xdr:col>20</xdr:col>
      <xdr:colOff>662940</xdr:colOff>
      <xdr:row>104</xdr:row>
      <xdr:rowOff>68580</xdr:rowOff>
    </xdr:to>
    <xdr:sp macro="" textlink="">
      <xdr:nvSpPr>
        <xdr:cNvPr id="20491" name="AutoShape 11">
          <a:extLst>
            <a:ext uri="{FF2B5EF4-FFF2-40B4-BE49-F238E27FC236}">
              <a16:creationId xmlns:a16="http://schemas.microsoft.com/office/drawing/2014/main" id="{00000000-0008-0000-1000-00000B500000}"/>
            </a:ext>
          </a:extLst>
        </xdr:cNvPr>
        <xdr:cNvSpPr>
          <a:spLocks noChangeArrowheads="1"/>
        </xdr:cNvSpPr>
      </xdr:nvSpPr>
      <xdr:spPr bwMode="auto">
        <a:xfrm>
          <a:off x="33268920" y="23644860"/>
          <a:ext cx="3238500" cy="281940"/>
        </a:xfrm>
        <a:prstGeom prst="leftArrow">
          <a:avLst>
            <a:gd name="adj1" fmla="val 50000"/>
            <a:gd name="adj2" fmla="val 287162"/>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24</xdr:col>
      <xdr:colOff>144780</xdr:colOff>
      <xdr:row>103</xdr:row>
      <xdr:rowOff>68580</xdr:rowOff>
    </xdr:from>
    <xdr:to>
      <xdr:col>24</xdr:col>
      <xdr:colOff>2598420</xdr:colOff>
      <xdr:row>104</xdr:row>
      <xdr:rowOff>182880</xdr:rowOff>
    </xdr:to>
    <xdr:sp macro="" textlink="">
      <xdr:nvSpPr>
        <xdr:cNvPr id="20492" name="AutoShape 12">
          <a:extLst>
            <a:ext uri="{FF2B5EF4-FFF2-40B4-BE49-F238E27FC236}">
              <a16:creationId xmlns:a16="http://schemas.microsoft.com/office/drawing/2014/main" id="{00000000-0008-0000-1000-00000C500000}"/>
            </a:ext>
          </a:extLst>
        </xdr:cNvPr>
        <xdr:cNvSpPr>
          <a:spLocks noChangeArrowheads="1"/>
        </xdr:cNvSpPr>
      </xdr:nvSpPr>
      <xdr:spPr bwMode="auto">
        <a:xfrm flipH="1">
          <a:off x="40789860" y="23736300"/>
          <a:ext cx="2453640" cy="304800"/>
        </a:xfrm>
        <a:prstGeom prst="leftArrow">
          <a:avLst>
            <a:gd name="adj1" fmla="val 50000"/>
            <a:gd name="adj2" fmla="val 201250"/>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22860</xdr:colOff>
      <xdr:row>176</xdr:row>
      <xdr:rowOff>160020</xdr:rowOff>
    </xdr:from>
    <xdr:to>
      <xdr:col>11</xdr:col>
      <xdr:colOff>762000</xdr:colOff>
      <xdr:row>180</xdr:row>
      <xdr:rowOff>99060</xdr:rowOff>
    </xdr:to>
    <xdr:sp macro="" textlink="">
      <xdr:nvSpPr>
        <xdr:cNvPr id="20502" name="Text Box 22">
          <a:extLst>
            <a:ext uri="{FF2B5EF4-FFF2-40B4-BE49-F238E27FC236}">
              <a16:creationId xmlns:a16="http://schemas.microsoft.com/office/drawing/2014/main" id="{00000000-0008-0000-1000-000016500000}"/>
            </a:ext>
          </a:extLst>
        </xdr:cNvPr>
        <xdr:cNvSpPr txBox="1">
          <a:spLocks noChangeArrowheads="1"/>
        </xdr:cNvSpPr>
      </xdr:nvSpPr>
      <xdr:spPr bwMode="auto">
        <a:xfrm>
          <a:off x="12138660" y="38130480"/>
          <a:ext cx="10767060" cy="701040"/>
        </a:xfrm>
        <a:prstGeom prst="rect">
          <a:avLst/>
        </a:prstGeom>
        <a:solidFill>
          <a:srgbClr val="EAEAEA"/>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en-AU" sz="1200" b="0" i="0" u="none" strike="noStrike" baseline="0">
              <a:solidFill>
                <a:srgbClr val="000000"/>
              </a:solidFill>
              <a:latin typeface="Arial"/>
              <a:cs typeface="Arial"/>
            </a:rPr>
            <a:t>Note:</a:t>
          </a:r>
        </a:p>
        <a:p>
          <a:pPr algn="l" rtl="0">
            <a:defRPr sz="1000"/>
          </a:pPr>
          <a:r>
            <a:rPr lang="en-AU" sz="1200" b="0" i="0" u="none" strike="noStrike" baseline="0">
              <a:solidFill>
                <a:srgbClr val="000000"/>
              </a:solidFill>
              <a:latin typeface="Arial"/>
              <a:cs typeface="Arial"/>
            </a:rPr>
            <a:t>Adult Equivalents (AEs) for dry cattle are based on relativity to a standard weight of beast carried for 12 months.  One adult equivalent (AE) can be thought of as the amount of feed consumed in 12 months by a non-lactating animal of average weight 450 kg. Therefore, if average feed consumption is 2.2% of bodyweight, this would be equivalent to approx 3,650 kg dry matter per year for one AE.</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18</xdr:col>
      <xdr:colOff>441960</xdr:colOff>
      <xdr:row>0</xdr:row>
      <xdr:rowOff>0</xdr:rowOff>
    </xdr:from>
    <xdr:to>
      <xdr:col>20</xdr:col>
      <xdr:colOff>662940</xdr:colOff>
      <xdr:row>0</xdr:row>
      <xdr:rowOff>0</xdr:rowOff>
    </xdr:to>
    <xdr:sp macro="" textlink="">
      <xdr:nvSpPr>
        <xdr:cNvPr id="21505" name="AutoShape 1">
          <a:extLst>
            <a:ext uri="{FF2B5EF4-FFF2-40B4-BE49-F238E27FC236}">
              <a16:creationId xmlns:a16="http://schemas.microsoft.com/office/drawing/2014/main" id="{00000000-0008-0000-1100-000001540000}"/>
            </a:ext>
          </a:extLst>
        </xdr:cNvPr>
        <xdr:cNvSpPr>
          <a:spLocks noChangeArrowheads="1"/>
        </xdr:cNvSpPr>
      </xdr:nvSpPr>
      <xdr:spPr bwMode="auto">
        <a:xfrm>
          <a:off x="33268920" y="0"/>
          <a:ext cx="3238500" cy="0"/>
        </a:xfrm>
        <a:prstGeom prst="leftArrow">
          <a:avLst>
            <a:gd name="adj1" fmla="val 50000"/>
            <a:gd name="adj2" fmla="val -2147483648"/>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24</xdr:col>
      <xdr:colOff>144780</xdr:colOff>
      <xdr:row>0</xdr:row>
      <xdr:rowOff>0</xdr:rowOff>
    </xdr:from>
    <xdr:to>
      <xdr:col>24</xdr:col>
      <xdr:colOff>2606040</xdr:colOff>
      <xdr:row>0</xdr:row>
      <xdr:rowOff>0</xdr:rowOff>
    </xdr:to>
    <xdr:sp macro="" textlink="">
      <xdr:nvSpPr>
        <xdr:cNvPr id="21506" name="AutoShape 2">
          <a:extLst>
            <a:ext uri="{FF2B5EF4-FFF2-40B4-BE49-F238E27FC236}">
              <a16:creationId xmlns:a16="http://schemas.microsoft.com/office/drawing/2014/main" id="{00000000-0008-0000-1100-000002540000}"/>
            </a:ext>
          </a:extLst>
        </xdr:cNvPr>
        <xdr:cNvSpPr>
          <a:spLocks noChangeArrowheads="1"/>
        </xdr:cNvSpPr>
      </xdr:nvSpPr>
      <xdr:spPr bwMode="auto">
        <a:xfrm flipH="1">
          <a:off x="40789860" y="0"/>
          <a:ext cx="2461260" cy="0"/>
        </a:xfrm>
        <a:prstGeom prst="leftArrow">
          <a:avLst>
            <a:gd name="adj1" fmla="val 50000"/>
            <a:gd name="adj2" fmla="val -2147483648"/>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18</xdr:col>
      <xdr:colOff>441960</xdr:colOff>
      <xdr:row>0</xdr:row>
      <xdr:rowOff>0</xdr:rowOff>
    </xdr:from>
    <xdr:to>
      <xdr:col>20</xdr:col>
      <xdr:colOff>662940</xdr:colOff>
      <xdr:row>0</xdr:row>
      <xdr:rowOff>0</xdr:rowOff>
    </xdr:to>
    <xdr:sp macro="" textlink="">
      <xdr:nvSpPr>
        <xdr:cNvPr id="21507" name="AutoShape 3">
          <a:extLst>
            <a:ext uri="{FF2B5EF4-FFF2-40B4-BE49-F238E27FC236}">
              <a16:creationId xmlns:a16="http://schemas.microsoft.com/office/drawing/2014/main" id="{00000000-0008-0000-1100-000003540000}"/>
            </a:ext>
          </a:extLst>
        </xdr:cNvPr>
        <xdr:cNvSpPr>
          <a:spLocks noChangeArrowheads="1"/>
        </xdr:cNvSpPr>
      </xdr:nvSpPr>
      <xdr:spPr bwMode="auto">
        <a:xfrm>
          <a:off x="33268920" y="0"/>
          <a:ext cx="3238500" cy="0"/>
        </a:xfrm>
        <a:prstGeom prst="leftArrow">
          <a:avLst>
            <a:gd name="adj1" fmla="val 50000"/>
            <a:gd name="adj2" fmla="val -2147483648"/>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24</xdr:col>
      <xdr:colOff>144780</xdr:colOff>
      <xdr:row>0</xdr:row>
      <xdr:rowOff>0</xdr:rowOff>
    </xdr:from>
    <xdr:to>
      <xdr:col>24</xdr:col>
      <xdr:colOff>2606040</xdr:colOff>
      <xdr:row>0</xdr:row>
      <xdr:rowOff>0</xdr:rowOff>
    </xdr:to>
    <xdr:sp macro="" textlink="">
      <xdr:nvSpPr>
        <xdr:cNvPr id="21508" name="AutoShape 4">
          <a:extLst>
            <a:ext uri="{FF2B5EF4-FFF2-40B4-BE49-F238E27FC236}">
              <a16:creationId xmlns:a16="http://schemas.microsoft.com/office/drawing/2014/main" id="{00000000-0008-0000-1100-000004540000}"/>
            </a:ext>
          </a:extLst>
        </xdr:cNvPr>
        <xdr:cNvSpPr>
          <a:spLocks noChangeArrowheads="1"/>
        </xdr:cNvSpPr>
      </xdr:nvSpPr>
      <xdr:spPr bwMode="auto">
        <a:xfrm flipH="1">
          <a:off x="40789860" y="0"/>
          <a:ext cx="2461260" cy="0"/>
        </a:xfrm>
        <a:prstGeom prst="leftArrow">
          <a:avLst>
            <a:gd name="adj1" fmla="val 50000"/>
            <a:gd name="adj2" fmla="val -2147483648"/>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106680</xdr:colOff>
      <xdr:row>0</xdr:row>
      <xdr:rowOff>0</xdr:rowOff>
    </xdr:from>
    <xdr:to>
      <xdr:col>9</xdr:col>
      <xdr:colOff>1043940</xdr:colOff>
      <xdr:row>0</xdr:row>
      <xdr:rowOff>0</xdr:rowOff>
    </xdr:to>
    <xdr:sp macro="" textlink="">
      <xdr:nvSpPr>
        <xdr:cNvPr id="21509" name="TextBox 3">
          <a:extLst>
            <a:ext uri="{FF2B5EF4-FFF2-40B4-BE49-F238E27FC236}">
              <a16:creationId xmlns:a16="http://schemas.microsoft.com/office/drawing/2014/main" id="{00000000-0008-0000-1100-000005540000}"/>
            </a:ext>
          </a:extLst>
        </xdr:cNvPr>
        <xdr:cNvSpPr txBox="1">
          <a:spLocks noChangeArrowheads="1"/>
        </xdr:cNvSpPr>
      </xdr:nvSpPr>
      <xdr:spPr bwMode="auto">
        <a:xfrm>
          <a:off x="9707880" y="0"/>
          <a:ext cx="9654540" cy="0"/>
        </a:xfrm>
        <a:prstGeom prst="rect">
          <a:avLst/>
        </a:prstGeom>
        <a:solidFill>
          <a:srgbClr val="EEECE1"/>
        </a:solidFill>
        <a:ln w="9525">
          <a:solidFill>
            <a:srgbClr val="000000"/>
          </a:solidFill>
          <a:miter lim="800000"/>
          <a:headEnd/>
          <a:tailEnd/>
        </a:ln>
      </xdr:spPr>
      <xdr:txBody>
        <a:bodyPr vertOverflow="clip" wrap="square" lIns="27432" tIns="18288" rIns="0" bIns="0" anchor="t"/>
        <a:lstStyle/>
        <a:p>
          <a:pPr algn="l" rtl="0">
            <a:defRPr sz="1000"/>
          </a:pPr>
          <a:r>
            <a:rPr lang="en-AU" sz="1200" b="0" i="0" u="none" strike="noStrike" baseline="0">
              <a:solidFill>
                <a:srgbClr val="000000"/>
              </a:solidFill>
              <a:latin typeface="Calibri"/>
              <a:cs typeface="Calibri"/>
            </a:rPr>
            <a:t>Please ensure that the values per head entered here reflect the  average value of the stock in the paddock at calving, not the market value when selling. The values you enter should reflect something along the lines of the values you might get in a "Clearout Sale".</a:t>
          </a:r>
        </a:p>
        <a:p>
          <a:pPr algn="l" rtl="0">
            <a:defRPr sz="1000"/>
          </a:pPr>
          <a:r>
            <a:rPr lang="en-AU" sz="1200" b="0" i="0" u="none" strike="noStrike" baseline="0">
              <a:solidFill>
                <a:srgbClr val="000000"/>
              </a:solidFill>
              <a:latin typeface="Calibri"/>
              <a:cs typeface="Calibri"/>
            </a:rPr>
            <a:t>These values are not used in this analysis to calculate the opportunity cost of livestock capital. Only the interest payable on the average annual livestock purchases is counted to allow comparison with other forages.  Please change the formula in D171 if all livestock capital is to be accounted for.</a:t>
          </a:r>
        </a:p>
      </xdr:txBody>
    </xdr:sp>
    <xdr:clientData/>
  </xdr:twoCellAnchor>
  <xdr:twoCellAnchor>
    <xdr:from>
      <xdr:col>18</xdr:col>
      <xdr:colOff>441960</xdr:colOff>
      <xdr:row>0</xdr:row>
      <xdr:rowOff>0</xdr:rowOff>
    </xdr:from>
    <xdr:to>
      <xdr:col>20</xdr:col>
      <xdr:colOff>662940</xdr:colOff>
      <xdr:row>0</xdr:row>
      <xdr:rowOff>0</xdr:rowOff>
    </xdr:to>
    <xdr:sp macro="" textlink="">
      <xdr:nvSpPr>
        <xdr:cNvPr id="21510" name="AutoShape 6">
          <a:extLst>
            <a:ext uri="{FF2B5EF4-FFF2-40B4-BE49-F238E27FC236}">
              <a16:creationId xmlns:a16="http://schemas.microsoft.com/office/drawing/2014/main" id="{00000000-0008-0000-1100-000006540000}"/>
            </a:ext>
          </a:extLst>
        </xdr:cNvPr>
        <xdr:cNvSpPr>
          <a:spLocks noChangeArrowheads="1"/>
        </xdr:cNvSpPr>
      </xdr:nvSpPr>
      <xdr:spPr bwMode="auto">
        <a:xfrm>
          <a:off x="33268920" y="0"/>
          <a:ext cx="3238500" cy="0"/>
        </a:xfrm>
        <a:prstGeom prst="leftArrow">
          <a:avLst>
            <a:gd name="adj1" fmla="val 50000"/>
            <a:gd name="adj2" fmla="val -2147483648"/>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24</xdr:col>
      <xdr:colOff>144780</xdr:colOff>
      <xdr:row>0</xdr:row>
      <xdr:rowOff>0</xdr:rowOff>
    </xdr:from>
    <xdr:to>
      <xdr:col>24</xdr:col>
      <xdr:colOff>2606040</xdr:colOff>
      <xdr:row>0</xdr:row>
      <xdr:rowOff>0</xdr:rowOff>
    </xdr:to>
    <xdr:sp macro="" textlink="">
      <xdr:nvSpPr>
        <xdr:cNvPr id="21511" name="AutoShape 7">
          <a:extLst>
            <a:ext uri="{FF2B5EF4-FFF2-40B4-BE49-F238E27FC236}">
              <a16:creationId xmlns:a16="http://schemas.microsoft.com/office/drawing/2014/main" id="{00000000-0008-0000-1100-000007540000}"/>
            </a:ext>
          </a:extLst>
        </xdr:cNvPr>
        <xdr:cNvSpPr>
          <a:spLocks noChangeArrowheads="1"/>
        </xdr:cNvSpPr>
      </xdr:nvSpPr>
      <xdr:spPr bwMode="auto">
        <a:xfrm flipH="1">
          <a:off x="40789860" y="0"/>
          <a:ext cx="2461260" cy="0"/>
        </a:xfrm>
        <a:prstGeom prst="leftArrow">
          <a:avLst>
            <a:gd name="adj1" fmla="val 50000"/>
            <a:gd name="adj2" fmla="val -2147483648"/>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22860</xdr:colOff>
      <xdr:row>0</xdr:row>
      <xdr:rowOff>0</xdr:rowOff>
    </xdr:from>
    <xdr:to>
      <xdr:col>10</xdr:col>
      <xdr:colOff>762000</xdr:colOff>
      <xdr:row>0</xdr:row>
      <xdr:rowOff>0</xdr:rowOff>
    </xdr:to>
    <xdr:sp macro="" textlink="">
      <xdr:nvSpPr>
        <xdr:cNvPr id="21512" name="Text Box 8">
          <a:extLst>
            <a:ext uri="{FF2B5EF4-FFF2-40B4-BE49-F238E27FC236}">
              <a16:creationId xmlns:a16="http://schemas.microsoft.com/office/drawing/2014/main" id="{00000000-0008-0000-1100-000008540000}"/>
            </a:ext>
          </a:extLst>
        </xdr:cNvPr>
        <xdr:cNvSpPr txBox="1">
          <a:spLocks noChangeArrowheads="1"/>
        </xdr:cNvSpPr>
      </xdr:nvSpPr>
      <xdr:spPr bwMode="auto">
        <a:xfrm>
          <a:off x="9624060" y="0"/>
          <a:ext cx="11452860" cy="0"/>
        </a:xfrm>
        <a:prstGeom prst="rect">
          <a:avLst/>
        </a:prstGeom>
        <a:solidFill>
          <a:srgbClr val="EAEAEA"/>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en-AU" sz="1200" b="0" i="0" u="none" strike="noStrike" baseline="0">
              <a:solidFill>
                <a:srgbClr val="000000"/>
              </a:solidFill>
              <a:latin typeface="Arial"/>
              <a:cs typeface="Arial"/>
            </a:rPr>
            <a:t>Note:</a:t>
          </a:r>
        </a:p>
        <a:p>
          <a:pPr algn="l" rtl="0">
            <a:defRPr sz="1000"/>
          </a:pPr>
          <a:r>
            <a:rPr lang="en-AU" sz="1200" b="0" i="0" u="none" strike="noStrike" baseline="0">
              <a:solidFill>
                <a:srgbClr val="000000"/>
              </a:solidFill>
              <a:latin typeface="Arial"/>
              <a:cs typeface="Arial"/>
            </a:rPr>
            <a:t>Adult Equivalents (AEs) for dry cattle are based on relativity to a standard weight of beast carried for 12 months.  One adult equivalent (AE) can be thought of as the amount of feed consumed in 12 months by a non-lactating animal of average weight 450 kg. Therefore, if average feed consumption is 2.2% of bodyweight, this would be equivalent to approx 3,650 kg dry matter per year for one AE.</a:t>
          </a:r>
        </a:p>
      </xdr:txBody>
    </xdr:sp>
    <xdr:clientData/>
  </xdr:twoCellAnchor>
  <xdr:twoCellAnchor>
    <xdr:from>
      <xdr:col>5</xdr:col>
      <xdr:colOff>22860</xdr:colOff>
      <xdr:row>233</xdr:row>
      <xdr:rowOff>160020</xdr:rowOff>
    </xdr:from>
    <xdr:to>
      <xdr:col>10</xdr:col>
      <xdr:colOff>762000</xdr:colOff>
      <xdr:row>237</xdr:row>
      <xdr:rowOff>99060</xdr:rowOff>
    </xdr:to>
    <xdr:sp macro="" textlink="">
      <xdr:nvSpPr>
        <xdr:cNvPr id="21514" name="Text Box 10">
          <a:extLst>
            <a:ext uri="{FF2B5EF4-FFF2-40B4-BE49-F238E27FC236}">
              <a16:creationId xmlns:a16="http://schemas.microsoft.com/office/drawing/2014/main" id="{00000000-0008-0000-1100-00000A540000}"/>
            </a:ext>
          </a:extLst>
        </xdr:cNvPr>
        <xdr:cNvSpPr txBox="1">
          <a:spLocks noChangeArrowheads="1"/>
        </xdr:cNvSpPr>
      </xdr:nvSpPr>
      <xdr:spPr bwMode="auto">
        <a:xfrm>
          <a:off x="9624060" y="49042320"/>
          <a:ext cx="11452860" cy="701040"/>
        </a:xfrm>
        <a:prstGeom prst="rect">
          <a:avLst/>
        </a:prstGeom>
        <a:solidFill>
          <a:srgbClr val="EAEAEA"/>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en-AU" sz="1200" b="0" i="0" u="none" strike="noStrike" baseline="0">
              <a:solidFill>
                <a:srgbClr val="000000"/>
              </a:solidFill>
              <a:latin typeface="Arial"/>
              <a:cs typeface="Arial"/>
            </a:rPr>
            <a:t>Note:</a:t>
          </a:r>
        </a:p>
        <a:p>
          <a:pPr algn="l" rtl="0">
            <a:defRPr sz="1000"/>
          </a:pPr>
          <a:r>
            <a:rPr lang="en-AU" sz="1200" b="0" i="0" u="none" strike="noStrike" baseline="0">
              <a:solidFill>
                <a:srgbClr val="000000"/>
              </a:solidFill>
              <a:latin typeface="Arial"/>
              <a:cs typeface="Arial"/>
            </a:rPr>
            <a:t>Adult Equivalents (AEs) for dry cattle are based on relativity to a standard weight of beast carried for 12 months.  One adult equivalent (AE) can be thought of as the amount of feed consumed in 12 months by a non-lactating animal of average weight 450 kg. Therefore, if average feed consumption is 2.2% of bodyweight, this would be equivalent to approx 3,650 kg dry matter per year for one AE.</a:t>
          </a:r>
        </a:p>
      </xdr:txBody>
    </xdr:sp>
    <xdr:clientData/>
  </xdr:twoCellAnchor>
  <xdr:twoCellAnchor>
    <xdr:from>
      <xdr:col>18</xdr:col>
      <xdr:colOff>441960</xdr:colOff>
      <xdr:row>147</xdr:row>
      <xdr:rowOff>167640</xdr:rowOff>
    </xdr:from>
    <xdr:to>
      <xdr:col>20</xdr:col>
      <xdr:colOff>662940</xdr:colOff>
      <xdr:row>149</xdr:row>
      <xdr:rowOff>68580</xdr:rowOff>
    </xdr:to>
    <xdr:sp macro="" textlink="">
      <xdr:nvSpPr>
        <xdr:cNvPr id="21515" name="AutoShape 11">
          <a:extLst>
            <a:ext uri="{FF2B5EF4-FFF2-40B4-BE49-F238E27FC236}">
              <a16:creationId xmlns:a16="http://schemas.microsoft.com/office/drawing/2014/main" id="{00000000-0008-0000-1100-00000B540000}"/>
            </a:ext>
          </a:extLst>
        </xdr:cNvPr>
        <xdr:cNvSpPr>
          <a:spLocks noChangeArrowheads="1"/>
        </xdr:cNvSpPr>
      </xdr:nvSpPr>
      <xdr:spPr bwMode="auto">
        <a:xfrm>
          <a:off x="33268920" y="32491680"/>
          <a:ext cx="3238500" cy="289560"/>
        </a:xfrm>
        <a:prstGeom prst="leftArrow">
          <a:avLst>
            <a:gd name="adj1" fmla="val 50000"/>
            <a:gd name="adj2" fmla="val 279605"/>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24</xdr:col>
      <xdr:colOff>144780</xdr:colOff>
      <xdr:row>148</xdr:row>
      <xdr:rowOff>68580</xdr:rowOff>
    </xdr:from>
    <xdr:to>
      <xdr:col>24</xdr:col>
      <xdr:colOff>2598420</xdr:colOff>
      <xdr:row>149</xdr:row>
      <xdr:rowOff>182880</xdr:rowOff>
    </xdr:to>
    <xdr:sp macro="" textlink="">
      <xdr:nvSpPr>
        <xdr:cNvPr id="21516" name="AutoShape 12">
          <a:extLst>
            <a:ext uri="{FF2B5EF4-FFF2-40B4-BE49-F238E27FC236}">
              <a16:creationId xmlns:a16="http://schemas.microsoft.com/office/drawing/2014/main" id="{00000000-0008-0000-1100-00000C540000}"/>
            </a:ext>
          </a:extLst>
        </xdr:cNvPr>
        <xdr:cNvSpPr>
          <a:spLocks noChangeArrowheads="1"/>
        </xdr:cNvSpPr>
      </xdr:nvSpPr>
      <xdr:spPr bwMode="auto">
        <a:xfrm flipH="1">
          <a:off x="40789860" y="32590740"/>
          <a:ext cx="2453640" cy="304800"/>
        </a:xfrm>
        <a:prstGeom prst="leftArrow">
          <a:avLst>
            <a:gd name="adj1" fmla="val 50000"/>
            <a:gd name="adj2" fmla="val 201250"/>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18</xdr:col>
      <xdr:colOff>441960</xdr:colOff>
      <xdr:row>0</xdr:row>
      <xdr:rowOff>0</xdr:rowOff>
    </xdr:from>
    <xdr:to>
      <xdr:col>20</xdr:col>
      <xdr:colOff>662940</xdr:colOff>
      <xdr:row>0</xdr:row>
      <xdr:rowOff>0</xdr:rowOff>
    </xdr:to>
    <xdr:sp macro="" textlink="">
      <xdr:nvSpPr>
        <xdr:cNvPr id="21517" name="AutoShape 13">
          <a:extLst>
            <a:ext uri="{FF2B5EF4-FFF2-40B4-BE49-F238E27FC236}">
              <a16:creationId xmlns:a16="http://schemas.microsoft.com/office/drawing/2014/main" id="{00000000-0008-0000-1100-00000D540000}"/>
            </a:ext>
          </a:extLst>
        </xdr:cNvPr>
        <xdr:cNvSpPr>
          <a:spLocks noChangeArrowheads="1"/>
        </xdr:cNvSpPr>
      </xdr:nvSpPr>
      <xdr:spPr bwMode="auto">
        <a:xfrm>
          <a:off x="33268920" y="0"/>
          <a:ext cx="3238500" cy="0"/>
        </a:xfrm>
        <a:prstGeom prst="leftArrow">
          <a:avLst>
            <a:gd name="adj1" fmla="val 50000"/>
            <a:gd name="adj2" fmla="val -2147483648"/>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24</xdr:col>
      <xdr:colOff>144780</xdr:colOff>
      <xdr:row>0</xdr:row>
      <xdr:rowOff>0</xdr:rowOff>
    </xdr:from>
    <xdr:to>
      <xdr:col>24</xdr:col>
      <xdr:colOff>2606040</xdr:colOff>
      <xdr:row>0</xdr:row>
      <xdr:rowOff>0</xdr:rowOff>
    </xdr:to>
    <xdr:sp macro="" textlink="">
      <xdr:nvSpPr>
        <xdr:cNvPr id="21518" name="AutoShape 14">
          <a:extLst>
            <a:ext uri="{FF2B5EF4-FFF2-40B4-BE49-F238E27FC236}">
              <a16:creationId xmlns:a16="http://schemas.microsoft.com/office/drawing/2014/main" id="{00000000-0008-0000-1100-00000E540000}"/>
            </a:ext>
          </a:extLst>
        </xdr:cNvPr>
        <xdr:cNvSpPr>
          <a:spLocks noChangeArrowheads="1"/>
        </xdr:cNvSpPr>
      </xdr:nvSpPr>
      <xdr:spPr bwMode="auto">
        <a:xfrm flipH="1">
          <a:off x="40789860" y="0"/>
          <a:ext cx="2461260" cy="0"/>
        </a:xfrm>
        <a:prstGeom prst="leftArrow">
          <a:avLst>
            <a:gd name="adj1" fmla="val 50000"/>
            <a:gd name="adj2" fmla="val -2147483648"/>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18</xdr:col>
      <xdr:colOff>441960</xdr:colOff>
      <xdr:row>0</xdr:row>
      <xdr:rowOff>0</xdr:rowOff>
    </xdr:from>
    <xdr:to>
      <xdr:col>20</xdr:col>
      <xdr:colOff>662940</xdr:colOff>
      <xdr:row>0</xdr:row>
      <xdr:rowOff>0</xdr:rowOff>
    </xdr:to>
    <xdr:sp macro="" textlink="">
      <xdr:nvSpPr>
        <xdr:cNvPr id="21519" name="AutoShape 15">
          <a:extLst>
            <a:ext uri="{FF2B5EF4-FFF2-40B4-BE49-F238E27FC236}">
              <a16:creationId xmlns:a16="http://schemas.microsoft.com/office/drawing/2014/main" id="{00000000-0008-0000-1100-00000F540000}"/>
            </a:ext>
          </a:extLst>
        </xdr:cNvPr>
        <xdr:cNvSpPr>
          <a:spLocks noChangeArrowheads="1"/>
        </xdr:cNvSpPr>
      </xdr:nvSpPr>
      <xdr:spPr bwMode="auto">
        <a:xfrm>
          <a:off x="33268920" y="0"/>
          <a:ext cx="3238500" cy="0"/>
        </a:xfrm>
        <a:prstGeom prst="leftArrow">
          <a:avLst>
            <a:gd name="adj1" fmla="val 50000"/>
            <a:gd name="adj2" fmla="val -2147483648"/>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24</xdr:col>
      <xdr:colOff>144780</xdr:colOff>
      <xdr:row>0</xdr:row>
      <xdr:rowOff>0</xdr:rowOff>
    </xdr:from>
    <xdr:to>
      <xdr:col>24</xdr:col>
      <xdr:colOff>2606040</xdr:colOff>
      <xdr:row>0</xdr:row>
      <xdr:rowOff>0</xdr:rowOff>
    </xdr:to>
    <xdr:sp macro="" textlink="">
      <xdr:nvSpPr>
        <xdr:cNvPr id="21520" name="AutoShape 16">
          <a:extLst>
            <a:ext uri="{FF2B5EF4-FFF2-40B4-BE49-F238E27FC236}">
              <a16:creationId xmlns:a16="http://schemas.microsoft.com/office/drawing/2014/main" id="{00000000-0008-0000-1100-000010540000}"/>
            </a:ext>
          </a:extLst>
        </xdr:cNvPr>
        <xdr:cNvSpPr>
          <a:spLocks noChangeArrowheads="1"/>
        </xdr:cNvSpPr>
      </xdr:nvSpPr>
      <xdr:spPr bwMode="auto">
        <a:xfrm flipH="1">
          <a:off x="40789860" y="0"/>
          <a:ext cx="2461260" cy="0"/>
        </a:xfrm>
        <a:prstGeom prst="leftArrow">
          <a:avLst>
            <a:gd name="adj1" fmla="val 50000"/>
            <a:gd name="adj2" fmla="val -2147483648"/>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106680</xdr:colOff>
      <xdr:row>0</xdr:row>
      <xdr:rowOff>0</xdr:rowOff>
    </xdr:from>
    <xdr:to>
      <xdr:col>9</xdr:col>
      <xdr:colOff>1043940</xdr:colOff>
      <xdr:row>0</xdr:row>
      <xdr:rowOff>0</xdr:rowOff>
    </xdr:to>
    <xdr:sp macro="" textlink="">
      <xdr:nvSpPr>
        <xdr:cNvPr id="21521" name="TextBox 3">
          <a:extLst>
            <a:ext uri="{FF2B5EF4-FFF2-40B4-BE49-F238E27FC236}">
              <a16:creationId xmlns:a16="http://schemas.microsoft.com/office/drawing/2014/main" id="{00000000-0008-0000-1100-000011540000}"/>
            </a:ext>
          </a:extLst>
        </xdr:cNvPr>
        <xdr:cNvSpPr txBox="1">
          <a:spLocks noChangeArrowheads="1"/>
        </xdr:cNvSpPr>
      </xdr:nvSpPr>
      <xdr:spPr bwMode="auto">
        <a:xfrm>
          <a:off x="9707880" y="0"/>
          <a:ext cx="9654540" cy="0"/>
        </a:xfrm>
        <a:prstGeom prst="rect">
          <a:avLst/>
        </a:prstGeom>
        <a:solidFill>
          <a:srgbClr val="EEECE1"/>
        </a:solidFill>
        <a:ln w="9525">
          <a:solidFill>
            <a:srgbClr val="000000"/>
          </a:solidFill>
          <a:miter lim="800000"/>
          <a:headEnd/>
          <a:tailEnd/>
        </a:ln>
      </xdr:spPr>
      <xdr:txBody>
        <a:bodyPr vertOverflow="clip" wrap="square" lIns="27432" tIns="18288" rIns="0" bIns="0" anchor="t"/>
        <a:lstStyle/>
        <a:p>
          <a:pPr algn="l" rtl="0">
            <a:defRPr sz="1000"/>
          </a:pPr>
          <a:r>
            <a:rPr lang="en-AU" sz="1200" b="0" i="0" u="none" strike="noStrike" baseline="0">
              <a:solidFill>
                <a:srgbClr val="000000"/>
              </a:solidFill>
              <a:latin typeface="Calibri"/>
              <a:cs typeface="Calibri"/>
            </a:rPr>
            <a:t>Please ensure that the values per head entered here reflect the  average value of the stock in the paddock at calving, not the market value when selling. The values you enter should reflect something along the lines of the values you might get in a "Clearout Sale".</a:t>
          </a:r>
        </a:p>
        <a:p>
          <a:pPr algn="l" rtl="0">
            <a:defRPr sz="1000"/>
          </a:pPr>
          <a:r>
            <a:rPr lang="en-AU" sz="1200" b="0" i="0" u="none" strike="noStrike" baseline="0">
              <a:solidFill>
                <a:srgbClr val="000000"/>
              </a:solidFill>
              <a:latin typeface="Calibri"/>
              <a:cs typeface="Calibri"/>
            </a:rPr>
            <a:t>These values are not used in this analysis to calculate the opportunity cost of livestock capital. Only the interest payable on the average annual livestock purchases is counted to allow comparison with other forages.  Please change the formula in D171 if all livestock capital is to be accounted for.</a:t>
          </a:r>
        </a:p>
      </xdr:txBody>
    </xdr:sp>
    <xdr:clientData/>
  </xdr:twoCellAnchor>
  <xdr:twoCellAnchor>
    <xdr:from>
      <xdr:col>18</xdr:col>
      <xdr:colOff>441960</xdr:colOff>
      <xdr:row>0</xdr:row>
      <xdr:rowOff>0</xdr:rowOff>
    </xdr:from>
    <xdr:to>
      <xdr:col>20</xdr:col>
      <xdr:colOff>662940</xdr:colOff>
      <xdr:row>0</xdr:row>
      <xdr:rowOff>0</xdr:rowOff>
    </xdr:to>
    <xdr:sp macro="" textlink="">
      <xdr:nvSpPr>
        <xdr:cNvPr id="21522" name="AutoShape 18">
          <a:extLst>
            <a:ext uri="{FF2B5EF4-FFF2-40B4-BE49-F238E27FC236}">
              <a16:creationId xmlns:a16="http://schemas.microsoft.com/office/drawing/2014/main" id="{00000000-0008-0000-1100-000012540000}"/>
            </a:ext>
          </a:extLst>
        </xdr:cNvPr>
        <xdr:cNvSpPr>
          <a:spLocks noChangeArrowheads="1"/>
        </xdr:cNvSpPr>
      </xdr:nvSpPr>
      <xdr:spPr bwMode="auto">
        <a:xfrm>
          <a:off x="33268920" y="0"/>
          <a:ext cx="3238500" cy="0"/>
        </a:xfrm>
        <a:prstGeom prst="leftArrow">
          <a:avLst>
            <a:gd name="adj1" fmla="val 50000"/>
            <a:gd name="adj2" fmla="val -2147483648"/>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24</xdr:col>
      <xdr:colOff>144780</xdr:colOff>
      <xdr:row>0</xdr:row>
      <xdr:rowOff>0</xdr:rowOff>
    </xdr:from>
    <xdr:to>
      <xdr:col>24</xdr:col>
      <xdr:colOff>2606040</xdr:colOff>
      <xdr:row>0</xdr:row>
      <xdr:rowOff>0</xdr:rowOff>
    </xdr:to>
    <xdr:sp macro="" textlink="">
      <xdr:nvSpPr>
        <xdr:cNvPr id="21523" name="AutoShape 19">
          <a:extLst>
            <a:ext uri="{FF2B5EF4-FFF2-40B4-BE49-F238E27FC236}">
              <a16:creationId xmlns:a16="http://schemas.microsoft.com/office/drawing/2014/main" id="{00000000-0008-0000-1100-000013540000}"/>
            </a:ext>
          </a:extLst>
        </xdr:cNvPr>
        <xdr:cNvSpPr>
          <a:spLocks noChangeArrowheads="1"/>
        </xdr:cNvSpPr>
      </xdr:nvSpPr>
      <xdr:spPr bwMode="auto">
        <a:xfrm flipH="1">
          <a:off x="40789860" y="0"/>
          <a:ext cx="2461260" cy="0"/>
        </a:xfrm>
        <a:prstGeom prst="leftArrow">
          <a:avLst>
            <a:gd name="adj1" fmla="val 50000"/>
            <a:gd name="adj2" fmla="val -2147483648"/>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22860</xdr:colOff>
      <xdr:row>0</xdr:row>
      <xdr:rowOff>0</xdr:rowOff>
    </xdr:from>
    <xdr:to>
      <xdr:col>10</xdr:col>
      <xdr:colOff>762000</xdr:colOff>
      <xdr:row>0</xdr:row>
      <xdr:rowOff>0</xdr:rowOff>
    </xdr:to>
    <xdr:sp macro="" textlink="">
      <xdr:nvSpPr>
        <xdr:cNvPr id="21524" name="Text Box 20">
          <a:extLst>
            <a:ext uri="{FF2B5EF4-FFF2-40B4-BE49-F238E27FC236}">
              <a16:creationId xmlns:a16="http://schemas.microsoft.com/office/drawing/2014/main" id="{00000000-0008-0000-1100-000014540000}"/>
            </a:ext>
          </a:extLst>
        </xdr:cNvPr>
        <xdr:cNvSpPr txBox="1">
          <a:spLocks noChangeArrowheads="1"/>
        </xdr:cNvSpPr>
      </xdr:nvSpPr>
      <xdr:spPr bwMode="auto">
        <a:xfrm>
          <a:off x="9624060" y="0"/>
          <a:ext cx="11452860" cy="0"/>
        </a:xfrm>
        <a:prstGeom prst="rect">
          <a:avLst/>
        </a:prstGeom>
        <a:solidFill>
          <a:srgbClr val="EAEAEA"/>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en-AU" sz="1200" b="0" i="0" u="none" strike="noStrike" baseline="0">
              <a:solidFill>
                <a:srgbClr val="000000"/>
              </a:solidFill>
              <a:latin typeface="Arial"/>
              <a:cs typeface="Arial"/>
            </a:rPr>
            <a:t>Note:</a:t>
          </a:r>
        </a:p>
        <a:p>
          <a:pPr algn="l" rtl="0">
            <a:defRPr sz="1000"/>
          </a:pPr>
          <a:r>
            <a:rPr lang="en-AU" sz="1200" b="0" i="0" u="none" strike="noStrike" baseline="0">
              <a:solidFill>
                <a:srgbClr val="000000"/>
              </a:solidFill>
              <a:latin typeface="Arial"/>
              <a:cs typeface="Arial"/>
            </a:rPr>
            <a:t>Adult Equivalents (AEs) for dry cattle are based on relativity to a standard weight of beast carried for 12 months.  One adult equivalent (AE) can be thought of as the amount of feed consumed in 12 months by a non-lactating animal of average weight 450 kg. Therefore, if average feed consumption is 2.2% of bodyweight, this would be equivalent to approx 3,650 kg dry matter per year for one AE.</a:t>
          </a:r>
        </a:p>
      </xdr:txBody>
    </xdr:sp>
    <xdr:clientData/>
  </xdr:twoCellAnchor>
  <xdr:twoCellAnchor>
    <xdr:from>
      <xdr:col>18</xdr:col>
      <xdr:colOff>441960</xdr:colOff>
      <xdr:row>102</xdr:row>
      <xdr:rowOff>167640</xdr:rowOff>
    </xdr:from>
    <xdr:to>
      <xdr:col>20</xdr:col>
      <xdr:colOff>662940</xdr:colOff>
      <xdr:row>104</xdr:row>
      <xdr:rowOff>68580</xdr:rowOff>
    </xdr:to>
    <xdr:sp macro="" textlink="">
      <xdr:nvSpPr>
        <xdr:cNvPr id="21525" name="AutoShape 21">
          <a:extLst>
            <a:ext uri="{FF2B5EF4-FFF2-40B4-BE49-F238E27FC236}">
              <a16:creationId xmlns:a16="http://schemas.microsoft.com/office/drawing/2014/main" id="{00000000-0008-0000-1100-000015540000}"/>
            </a:ext>
          </a:extLst>
        </xdr:cNvPr>
        <xdr:cNvSpPr>
          <a:spLocks noChangeArrowheads="1"/>
        </xdr:cNvSpPr>
      </xdr:nvSpPr>
      <xdr:spPr bwMode="auto">
        <a:xfrm>
          <a:off x="33268920" y="23644860"/>
          <a:ext cx="3238500" cy="281940"/>
        </a:xfrm>
        <a:prstGeom prst="leftArrow">
          <a:avLst>
            <a:gd name="adj1" fmla="val 50000"/>
            <a:gd name="adj2" fmla="val 287162"/>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24</xdr:col>
      <xdr:colOff>144780</xdr:colOff>
      <xdr:row>103</xdr:row>
      <xdr:rowOff>68580</xdr:rowOff>
    </xdr:from>
    <xdr:to>
      <xdr:col>24</xdr:col>
      <xdr:colOff>2598420</xdr:colOff>
      <xdr:row>104</xdr:row>
      <xdr:rowOff>182880</xdr:rowOff>
    </xdr:to>
    <xdr:sp macro="" textlink="">
      <xdr:nvSpPr>
        <xdr:cNvPr id="21526" name="AutoShape 22">
          <a:extLst>
            <a:ext uri="{FF2B5EF4-FFF2-40B4-BE49-F238E27FC236}">
              <a16:creationId xmlns:a16="http://schemas.microsoft.com/office/drawing/2014/main" id="{00000000-0008-0000-1100-000016540000}"/>
            </a:ext>
          </a:extLst>
        </xdr:cNvPr>
        <xdr:cNvSpPr>
          <a:spLocks noChangeArrowheads="1"/>
        </xdr:cNvSpPr>
      </xdr:nvSpPr>
      <xdr:spPr bwMode="auto">
        <a:xfrm flipH="1">
          <a:off x="40789860" y="23736300"/>
          <a:ext cx="2453640" cy="304800"/>
        </a:xfrm>
        <a:prstGeom prst="leftArrow">
          <a:avLst>
            <a:gd name="adj1" fmla="val 50000"/>
            <a:gd name="adj2" fmla="val 201250"/>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22860</xdr:colOff>
      <xdr:row>176</xdr:row>
      <xdr:rowOff>160020</xdr:rowOff>
    </xdr:from>
    <xdr:to>
      <xdr:col>11</xdr:col>
      <xdr:colOff>762000</xdr:colOff>
      <xdr:row>180</xdr:row>
      <xdr:rowOff>99060</xdr:rowOff>
    </xdr:to>
    <xdr:sp macro="" textlink="">
      <xdr:nvSpPr>
        <xdr:cNvPr id="21527" name="Text Box 23">
          <a:extLst>
            <a:ext uri="{FF2B5EF4-FFF2-40B4-BE49-F238E27FC236}">
              <a16:creationId xmlns:a16="http://schemas.microsoft.com/office/drawing/2014/main" id="{00000000-0008-0000-1100-000017540000}"/>
            </a:ext>
          </a:extLst>
        </xdr:cNvPr>
        <xdr:cNvSpPr txBox="1">
          <a:spLocks noChangeArrowheads="1"/>
        </xdr:cNvSpPr>
      </xdr:nvSpPr>
      <xdr:spPr bwMode="auto">
        <a:xfrm>
          <a:off x="12138660" y="38183820"/>
          <a:ext cx="10767060" cy="701040"/>
        </a:xfrm>
        <a:prstGeom prst="rect">
          <a:avLst/>
        </a:prstGeom>
        <a:solidFill>
          <a:srgbClr val="EAEAEA"/>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en-AU" sz="1200" b="0" i="0" u="none" strike="noStrike" baseline="0">
              <a:solidFill>
                <a:srgbClr val="000000"/>
              </a:solidFill>
              <a:latin typeface="Arial"/>
              <a:cs typeface="Arial"/>
            </a:rPr>
            <a:t>Note:</a:t>
          </a:r>
        </a:p>
        <a:p>
          <a:pPr algn="l" rtl="0">
            <a:defRPr sz="1000"/>
          </a:pPr>
          <a:r>
            <a:rPr lang="en-AU" sz="1200" b="0" i="0" u="none" strike="noStrike" baseline="0">
              <a:solidFill>
                <a:srgbClr val="000000"/>
              </a:solidFill>
              <a:latin typeface="Arial"/>
              <a:cs typeface="Arial"/>
            </a:rPr>
            <a:t>Adult Equivalents (AEs) for dry cattle are based on relativity to a standard weight of beast carried for 12 months.  One adult equivalent (AE) can be thought of as the amount of feed consumed in 12 months by a non-lactating animal of average weight 450 kg. Therefore, if average feed consumption is 2.2% of bodyweight, this would be equivalent to approx 3,650 kg dry matter per year for one AE.</a:t>
          </a:r>
        </a:p>
      </xdr:txBody>
    </xdr:sp>
    <xdr:clientData/>
  </xdr:twoCellAnchor>
  <xdr:twoCellAnchor>
    <xdr:from>
      <xdr:col>18</xdr:col>
      <xdr:colOff>441960</xdr:colOff>
      <xdr:row>0</xdr:row>
      <xdr:rowOff>0</xdr:rowOff>
    </xdr:from>
    <xdr:to>
      <xdr:col>20</xdr:col>
      <xdr:colOff>662940</xdr:colOff>
      <xdr:row>0</xdr:row>
      <xdr:rowOff>0</xdr:rowOff>
    </xdr:to>
    <xdr:sp macro="" textlink="">
      <xdr:nvSpPr>
        <xdr:cNvPr id="21528" name="AutoShape 24">
          <a:extLst>
            <a:ext uri="{FF2B5EF4-FFF2-40B4-BE49-F238E27FC236}">
              <a16:creationId xmlns:a16="http://schemas.microsoft.com/office/drawing/2014/main" id="{00000000-0008-0000-1100-000018540000}"/>
            </a:ext>
          </a:extLst>
        </xdr:cNvPr>
        <xdr:cNvSpPr>
          <a:spLocks noChangeArrowheads="1"/>
        </xdr:cNvSpPr>
      </xdr:nvSpPr>
      <xdr:spPr bwMode="auto">
        <a:xfrm>
          <a:off x="33268920" y="0"/>
          <a:ext cx="3238500" cy="0"/>
        </a:xfrm>
        <a:prstGeom prst="leftArrow">
          <a:avLst>
            <a:gd name="adj1" fmla="val 50000"/>
            <a:gd name="adj2" fmla="val -2147483648"/>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24</xdr:col>
      <xdr:colOff>144780</xdr:colOff>
      <xdr:row>0</xdr:row>
      <xdr:rowOff>0</xdr:rowOff>
    </xdr:from>
    <xdr:to>
      <xdr:col>24</xdr:col>
      <xdr:colOff>2606040</xdr:colOff>
      <xdr:row>0</xdr:row>
      <xdr:rowOff>0</xdr:rowOff>
    </xdr:to>
    <xdr:sp macro="" textlink="">
      <xdr:nvSpPr>
        <xdr:cNvPr id="21529" name="AutoShape 25">
          <a:extLst>
            <a:ext uri="{FF2B5EF4-FFF2-40B4-BE49-F238E27FC236}">
              <a16:creationId xmlns:a16="http://schemas.microsoft.com/office/drawing/2014/main" id="{00000000-0008-0000-1100-000019540000}"/>
            </a:ext>
          </a:extLst>
        </xdr:cNvPr>
        <xdr:cNvSpPr>
          <a:spLocks noChangeArrowheads="1"/>
        </xdr:cNvSpPr>
      </xdr:nvSpPr>
      <xdr:spPr bwMode="auto">
        <a:xfrm flipH="1">
          <a:off x="40789860" y="0"/>
          <a:ext cx="2461260" cy="0"/>
        </a:xfrm>
        <a:prstGeom prst="leftArrow">
          <a:avLst>
            <a:gd name="adj1" fmla="val 50000"/>
            <a:gd name="adj2" fmla="val -2147483648"/>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18</xdr:col>
      <xdr:colOff>441960</xdr:colOff>
      <xdr:row>0</xdr:row>
      <xdr:rowOff>0</xdr:rowOff>
    </xdr:from>
    <xdr:to>
      <xdr:col>20</xdr:col>
      <xdr:colOff>662940</xdr:colOff>
      <xdr:row>0</xdr:row>
      <xdr:rowOff>0</xdr:rowOff>
    </xdr:to>
    <xdr:sp macro="" textlink="">
      <xdr:nvSpPr>
        <xdr:cNvPr id="21530" name="AutoShape 26">
          <a:extLst>
            <a:ext uri="{FF2B5EF4-FFF2-40B4-BE49-F238E27FC236}">
              <a16:creationId xmlns:a16="http://schemas.microsoft.com/office/drawing/2014/main" id="{00000000-0008-0000-1100-00001A540000}"/>
            </a:ext>
          </a:extLst>
        </xdr:cNvPr>
        <xdr:cNvSpPr>
          <a:spLocks noChangeArrowheads="1"/>
        </xdr:cNvSpPr>
      </xdr:nvSpPr>
      <xdr:spPr bwMode="auto">
        <a:xfrm>
          <a:off x="33268920" y="0"/>
          <a:ext cx="3238500" cy="0"/>
        </a:xfrm>
        <a:prstGeom prst="leftArrow">
          <a:avLst>
            <a:gd name="adj1" fmla="val 50000"/>
            <a:gd name="adj2" fmla="val -2147483648"/>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24</xdr:col>
      <xdr:colOff>144780</xdr:colOff>
      <xdr:row>0</xdr:row>
      <xdr:rowOff>0</xdr:rowOff>
    </xdr:from>
    <xdr:to>
      <xdr:col>24</xdr:col>
      <xdr:colOff>2606040</xdr:colOff>
      <xdr:row>0</xdr:row>
      <xdr:rowOff>0</xdr:rowOff>
    </xdr:to>
    <xdr:sp macro="" textlink="">
      <xdr:nvSpPr>
        <xdr:cNvPr id="21531" name="AutoShape 27">
          <a:extLst>
            <a:ext uri="{FF2B5EF4-FFF2-40B4-BE49-F238E27FC236}">
              <a16:creationId xmlns:a16="http://schemas.microsoft.com/office/drawing/2014/main" id="{00000000-0008-0000-1100-00001B540000}"/>
            </a:ext>
          </a:extLst>
        </xdr:cNvPr>
        <xdr:cNvSpPr>
          <a:spLocks noChangeArrowheads="1"/>
        </xdr:cNvSpPr>
      </xdr:nvSpPr>
      <xdr:spPr bwMode="auto">
        <a:xfrm flipH="1">
          <a:off x="40789860" y="0"/>
          <a:ext cx="2461260" cy="0"/>
        </a:xfrm>
        <a:prstGeom prst="leftArrow">
          <a:avLst>
            <a:gd name="adj1" fmla="val 50000"/>
            <a:gd name="adj2" fmla="val -2147483648"/>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106680</xdr:colOff>
      <xdr:row>0</xdr:row>
      <xdr:rowOff>0</xdr:rowOff>
    </xdr:from>
    <xdr:to>
      <xdr:col>9</xdr:col>
      <xdr:colOff>1043940</xdr:colOff>
      <xdr:row>0</xdr:row>
      <xdr:rowOff>0</xdr:rowOff>
    </xdr:to>
    <xdr:sp macro="" textlink="">
      <xdr:nvSpPr>
        <xdr:cNvPr id="21532" name="TextBox 3">
          <a:extLst>
            <a:ext uri="{FF2B5EF4-FFF2-40B4-BE49-F238E27FC236}">
              <a16:creationId xmlns:a16="http://schemas.microsoft.com/office/drawing/2014/main" id="{00000000-0008-0000-1100-00001C540000}"/>
            </a:ext>
          </a:extLst>
        </xdr:cNvPr>
        <xdr:cNvSpPr txBox="1">
          <a:spLocks noChangeArrowheads="1"/>
        </xdr:cNvSpPr>
      </xdr:nvSpPr>
      <xdr:spPr bwMode="auto">
        <a:xfrm>
          <a:off x="9707880" y="0"/>
          <a:ext cx="9654540" cy="0"/>
        </a:xfrm>
        <a:prstGeom prst="rect">
          <a:avLst/>
        </a:prstGeom>
        <a:solidFill>
          <a:srgbClr val="EEECE1"/>
        </a:solidFill>
        <a:ln w="9525">
          <a:solidFill>
            <a:srgbClr val="000000"/>
          </a:solidFill>
          <a:miter lim="800000"/>
          <a:headEnd/>
          <a:tailEnd/>
        </a:ln>
      </xdr:spPr>
      <xdr:txBody>
        <a:bodyPr vertOverflow="clip" wrap="square" lIns="27432" tIns="18288" rIns="0" bIns="0" anchor="t"/>
        <a:lstStyle/>
        <a:p>
          <a:pPr algn="l" rtl="0">
            <a:defRPr sz="1000"/>
          </a:pPr>
          <a:r>
            <a:rPr lang="en-AU" sz="1200" b="0" i="0" u="none" strike="noStrike" baseline="0">
              <a:solidFill>
                <a:srgbClr val="000000"/>
              </a:solidFill>
              <a:latin typeface="Calibri"/>
              <a:cs typeface="Calibri"/>
            </a:rPr>
            <a:t>Please ensure that the values per head entered here reflect the  average value of the stock in the paddock at calving, not the market value when selling. The values you enter should reflect something along the lines of the values you might get in a "Clearout Sale".</a:t>
          </a:r>
        </a:p>
        <a:p>
          <a:pPr algn="l" rtl="0">
            <a:defRPr sz="1000"/>
          </a:pPr>
          <a:r>
            <a:rPr lang="en-AU" sz="1200" b="0" i="0" u="none" strike="noStrike" baseline="0">
              <a:solidFill>
                <a:srgbClr val="000000"/>
              </a:solidFill>
              <a:latin typeface="Calibri"/>
              <a:cs typeface="Calibri"/>
            </a:rPr>
            <a:t>These values are not used in this analysis to calculate the opportunity cost of livestock capital. Only the interest payable on the average annual livestock purchases is counted to allow comparison with other forages.  Please change the formula in D171 if all livestock capital is to be accounted for.</a:t>
          </a:r>
        </a:p>
      </xdr:txBody>
    </xdr:sp>
    <xdr:clientData/>
  </xdr:twoCellAnchor>
  <xdr:twoCellAnchor>
    <xdr:from>
      <xdr:col>18</xdr:col>
      <xdr:colOff>441960</xdr:colOff>
      <xdr:row>0</xdr:row>
      <xdr:rowOff>0</xdr:rowOff>
    </xdr:from>
    <xdr:to>
      <xdr:col>20</xdr:col>
      <xdr:colOff>662940</xdr:colOff>
      <xdr:row>0</xdr:row>
      <xdr:rowOff>0</xdr:rowOff>
    </xdr:to>
    <xdr:sp macro="" textlink="">
      <xdr:nvSpPr>
        <xdr:cNvPr id="21533" name="AutoShape 29">
          <a:extLst>
            <a:ext uri="{FF2B5EF4-FFF2-40B4-BE49-F238E27FC236}">
              <a16:creationId xmlns:a16="http://schemas.microsoft.com/office/drawing/2014/main" id="{00000000-0008-0000-1100-00001D540000}"/>
            </a:ext>
          </a:extLst>
        </xdr:cNvPr>
        <xdr:cNvSpPr>
          <a:spLocks noChangeArrowheads="1"/>
        </xdr:cNvSpPr>
      </xdr:nvSpPr>
      <xdr:spPr bwMode="auto">
        <a:xfrm>
          <a:off x="33268920" y="0"/>
          <a:ext cx="3238500" cy="0"/>
        </a:xfrm>
        <a:prstGeom prst="leftArrow">
          <a:avLst>
            <a:gd name="adj1" fmla="val 50000"/>
            <a:gd name="adj2" fmla="val -2147483648"/>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24</xdr:col>
      <xdr:colOff>144780</xdr:colOff>
      <xdr:row>0</xdr:row>
      <xdr:rowOff>0</xdr:rowOff>
    </xdr:from>
    <xdr:to>
      <xdr:col>24</xdr:col>
      <xdr:colOff>2606040</xdr:colOff>
      <xdr:row>0</xdr:row>
      <xdr:rowOff>0</xdr:rowOff>
    </xdr:to>
    <xdr:sp macro="" textlink="">
      <xdr:nvSpPr>
        <xdr:cNvPr id="21534" name="AutoShape 30">
          <a:extLst>
            <a:ext uri="{FF2B5EF4-FFF2-40B4-BE49-F238E27FC236}">
              <a16:creationId xmlns:a16="http://schemas.microsoft.com/office/drawing/2014/main" id="{00000000-0008-0000-1100-00001E540000}"/>
            </a:ext>
          </a:extLst>
        </xdr:cNvPr>
        <xdr:cNvSpPr>
          <a:spLocks noChangeArrowheads="1"/>
        </xdr:cNvSpPr>
      </xdr:nvSpPr>
      <xdr:spPr bwMode="auto">
        <a:xfrm flipH="1">
          <a:off x="40789860" y="0"/>
          <a:ext cx="2461260" cy="0"/>
        </a:xfrm>
        <a:prstGeom prst="leftArrow">
          <a:avLst>
            <a:gd name="adj1" fmla="val 50000"/>
            <a:gd name="adj2" fmla="val -2147483648"/>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22860</xdr:colOff>
      <xdr:row>0</xdr:row>
      <xdr:rowOff>0</xdr:rowOff>
    </xdr:from>
    <xdr:to>
      <xdr:col>10</xdr:col>
      <xdr:colOff>762000</xdr:colOff>
      <xdr:row>0</xdr:row>
      <xdr:rowOff>0</xdr:rowOff>
    </xdr:to>
    <xdr:sp macro="" textlink="">
      <xdr:nvSpPr>
        <xdr:cNvPr id="21535" name="Text Box 31">
          <a:extLst>
            <a:ext uri="{FF2B5EF4-FFF2-40B4-BE49-F238E27FC236}">
              <a16:creationId xmlns:a16="http://schemas.microsoft.com/office/drawing/2014/main" id="{00000000-0008-0000-1100-00001F540000}"/>
            </a:ext>
          </a:extLst>
        </xdr:cNvPr>
        <xdr:cNvSpPr txBox="1">
          <a:spLocks noChangeArrowheads="1"/>
        </xdr:cNvSpPr>
      </xdr:nvSpPr>
      <xdr:spPr bwMode="auto">
        <a:xfrm>
          <a:off x="9624060" y="0"/>
          <a:ext cx="11452860" cy="0"/>
        </a:xfrm>
        <a:prstGeom prst="rect">
          <a:avLst/>
        </a:prstGeom>
        <a:solidFill>
          <a:srgbClr val="EAEAEA"/>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en-AU" sz="1200" b="0" i="0" u="none" strike="noStrike" baseline="0">
              <a:solidFill>
                <a:srgbClr val="000000"/>
              </a:solidFill>
              <a:latin typeface="Arial"/>
              <a:cs typeface="Arial"/>
            </a:rPr>
            <a:t>Note:</a:t>
          </a:r>
        </a:p>
        <a:p>
          <a:pPr algn="l" rtl="0">
            <a:defRPr sz="1000"/>
          </a:pPr>
          <a:r>
            <a:rPr lang="en-AU" sz="1200" b="0" i="0" u="none" strike="noStrike" baseline="0">
              <a:solidFill>
                <a:srgbClr val="000000"/>
              </a:solidFill>
              <a:latin typeface="Arial"/>
              <a:cs typeface="Arial"/>
            </a:rPr>
            <a:t>Adult Equivalents (AEs) for dry cattle are based on relativity to a standard weight of beast carried for 12 months.  One adult equivalent (AE) can be thought of as the amount of feed consumed in 12 months by a non-lactating animal of average weight 450 kg. Therefore, if average feed consumption is 2.2% of bodyweight, this would be equivalent to approx 3,650 kg dry matter per year for one AE.</a:t>
          </a:r>
        </a:p>
      </xdr:txBody>
    </xdr:sp>
    <xdr:clientData/>
  </xdr:twoCellAnchor>
  <xdr:twoCellAnchor>
    <xdr:from>
      <xdr:col>18</xdr:col>
      <xdr:colOff>441960</xdr:colOff>
      <xdr:row>102</xdr:row>
      <xdr:rowOff>167640</xdr:rowOff>
    </xdr:from>
    <xdr:to>
      <xdr:col>20</xdr:col>
      <xdr:colOff>662940</xdr:colOff>
      <xdr:row>104</xdr:row>
      <xdr:rowOff>68580</xdr:rowOff>
    </xdr:to>
    <xdr:sp macro="" textlink="">
      <xdr:nvSpPr>
        <xdr:cNvPr id="21536" name="AutoShape 32">
          <a:extLst>
            <a:ext uri="{FF2B5EF4-FFF2-40B4-BE49-F238E27FC236}">
              <a16:creationId xmlns:a16="http://schemas.microsoft.com/office/drawing/2014/main" id="{00000000-0008-0000-1100-000020540000}"/>
            </a:ext>
          </a:extLst>
        </xdr:cNvPr>
        <xdr:cNvSpPr>
          <a:spLocks noChangeArrowheads="1"/>
        </xdr:cNvSpPr>
      </xdr:nvSpPr>
      <xdr:spPr bwMode="auto">
        <a:xfrm>
          <a:off x="33268920" y="23644860"/>
          <a:ext cx="3238500" cy="281940"/>
        </a:xfrm>
        <a:prstGeom prst="leftArrow">
          <a:avLst>
            <a:gd name="adj1" fmla="val 50000"/>
            <a:gd name="adj2" fmla="val 287162"/>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24</xdr:col>
      <xdr:colOff>144780</xdr:colOff>
      <xdr:row>103</xdr:row>
      <xdr:rowOff>68580</xdr:rowOff>
    </xdr:from>
    <xdr:to>
      <xdr:col>24</xdr:col>
      <xdr:colOff>2598420</xdr:colOff>
      <xdr:row>104</xdr:row>
      <xdr:rowOff>182880</xdr:rowOff>
    </xdr:to>
    <xdr:sp macro="" textlink="">
      <xdr:nvSpPr>
        <xdr:cNvPr id="21537" name="AutoShape 33">
          <a:extLst>
            <a:ext uri="{FF2B5EF4-FFF2-40B4-BE49-F238E27FC236}">
              <a16:creationId xmlns:a16="http://schemas.microsoft.com/office/drawing/2014/main" id="{00000000-0008-0000-1100-000021540000}"/>
            </a:ext>
          </a:extLst>
        </xdr:cNvPr>
        <xdr:cNvSpPr>
          <a:spLocks noChangeArrowheads="1"/>
        </xdr:cNvSpPr>
      </xdr:nvSpPr>
      <xdr:spPr bwMode="auto">
        <a:xfrm flipH="1">
          <a:off x="40789860" y="23736300"/>
          <a:ext cx="2453640" cy="304800"/>
        </a:xfrm>
        <a:prstGeom prst="leftArrow">
          <a:avLst>
            <a:gd name="adj1" fmla="val 50000"/>
            <a:gd name="adj2" fmla="val 201250"/>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22860</xdr:colOff>
      <xdr:row>176</xdr:row>
      <xdr:rowOff>160020</xdr:rowOff>
    </xdr:from>
    <xdr:to>
      <xdr:col>11</xdr:col>
      <xdr:colOff>762000</xdr:colOff>
      <xdr:row>180</xdr:row>
      <xdr:rowOff>99060</xdr:rowOff>
    </xdr:to>
    <xdr:sp macro="" textlink="">
      <xdr:nvSpPr>
        <xdr:cNvPr id="21538" name="Text Box 34">
          <a:extLst>
            <a:ext uri="{FF2B5EF4-FFF2-40B4-BE49-F238E27FC236}">
              <a16:creationId xmlns:a16="http://schemas.microsoft.com/office/drawing/2014/main" id="{00000000-0008-0000-1100-000022540000}"/>
            </a:ext>
          </a:extLst>
        </xdr:cNvPr>
        <xdr:cNvSpPr txBox="1">
          <a:spLocks noChangeArrowheads="1"/>
        </xdr:cNvSpPr>
      </xdr:nvSpPr>
      <xdr:spPr bwMode="auto">
        <a:xfrm>
          <a:off x="12138660" y="38183820"/>
          <a:ext cx="10767060" cy="701040"/>
        </a:xfrm>
        <a:prstGeom prst="rect">
          <a:avLst/>
        </a:prstGeom>
        <a:solidFill>
          <a:srgbClr val="EAEAEA"/>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en-AU" sz="1200" b="0" i="0" u="none" strike="noStrike" baseline="0">
              <a:solidFill>
                <a:srgbClr val="000000"/>
              </a:solidFill>
              <a:latin typeface="Arial"/>
              <a:cs typeface="Arial"/>
            </a:rPr>
            <a:t>Note:</a:t>
          </a:r>
        </a:p>
        <a:p>
          <a:pPr algn="l" rtl="0">
            <a:defRPr sz="1000"/>
          </a:pPr>
          <a:r>
            <a:rPr lang="en-AU" sz="1200" b="0" i="0" u="none" strike="noStrike" baseline="0">
              <a:solidFill>
                <a:srgbClr val="000000"/>
              </a:solidFill>
              <a:latin typeface="Arial"/>
              <a:cs typeface="Arial"/>
            </a:rPr>
            <a:t>Adult Equivalents (AEs) for dry cattle are based on relativity to a standard weight of beast carried for 12 months.  One adult equivalent (AE) can be thought of as the amount of feed consumed in 12 months by a non-lactating animal of average weight 450 kg. Therefore, if average feed consumption is 2.2% of bodyweight, this would be equivalent to approx 3,650 kg dry matter per year for one AE.</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
  <sheetViews>
    <sheetView workbookViewId="0"/>
  </sheetViews>
  <sheetFormatPr defaultRowHeight="15" x14ac:dyDescent="0.2"/>
  <sheetData/>
  <phoneticPr fontId="0" type="noConversion"/>
  <pageMargins left="0.75" right="0.75" top="1" bottom="1" header="0.5" footer="0.5"/>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dimension ref="A1:IV2"/>
  <sheetViews>
    <sheetView workbookViewId="0"/>
  </sheetViews>
  <sheetFormatPr defaultRowHeight="15" x14ac:dyDescent="0.2"/>
  <sheetData>
    <row r="1" spans="1:256" x14ac:dyDescent="0.2">
      <c r="A1">
        <f>1</f>
        <v>1</v>
      </c>
      <c r="B1" t="e">
        <f ca="1">_xll.RiskCDS1([0]!SummerCropYield,[0]!SummerCropYield,Sheet3!A1)</f>
        <v>#NAME?</v>
      </c>
      <c r="C1" t="e">
        <f ca="1">_xll.RiskCDS2(Sheet3!B1,1,)</f>
        <v>#NAME?</v>
      </c>
      <c r="D1" t="e">
        <f ca="1">_xll.RiskCDS1([0]!WinterCropYields,[0]!WinterCropYields,Sheet3!A1)</f>
        <v>#NAME?</v>
      </c>
      <c r="E1" t="e">
        <f ca="1">_xll.RiskCDS2(Sheet3!D1,1,)</f>
        <v>#NAME?</v>
      </c>
      <c r="F1" t="e">
        <f ca="1">_xll.RiskCDS1([0]!pricecorrelation,[0]!pricecorrelation,Sheet3!A1)</f>
        <v>#NAME?</v>
      </c>
      <c r="G1" t="e">
        <f ca="1">_xll.RiskCDS2(Sheet3!F1,1,)</f>
        <v>#NAME?</v>
      </c>
      <c r="H1" t="e">
        <f ca="1">_xll.RiskCDS2(Sheet3!F1,2,)</f>
        <v>#NAME?</v>
      </c>
      <c r="I1" t="e">
        <f ca="1">_xll.RiskCDS1([0]!Activity1animalproductivity,[0]!Activity1animalproductivity,Sheet3!A1)</f>
        <v>#NAME?</v>
      </c>
      <c r="J1" t="e">
        <f ca="1">_xll.RiskCDS2(Sheet3!I1,1,)</f>
        <v>#NAME?</v>
      </c>
      <c r="K1" t="e">
        <f ca="1">_xll.RiskCDS2(Sheet3!I1,2,)</f>
        <v>#NAME?</v>
      </c>
      <c r="L1" t="e">
        <f ca="1">_xll.RiskCDS2(Sheet3!I1,3,)</f>
        <v>#NAME?</v>
      </c>
      <c r="M1" t="e">
        <f ca="1">_xll.RiskCDS1([0]!SummerCropYield,[0]!SummerCropYield,Sheet3!A1)</f>
        <v>#NAME?</v>
      </c>
      <c r="N1" t="e">
        <f ca="1">_xll.RiskCDS2(Sheet3!M1,2,)</f>
        <v>#NAME?</v>
      </c>
      <c r="O1" t="e">
        <f ca="1">_xll.RiskCDS1([0]!WinterCropYields,[0]!WinterCropYields,Sheet3!A1)</f>
        <v>#NAME?</v>
      </c>
      <c r="P1" t="e">
        <f ca="1">_xll.RiskCDS2(Sheet3!O1,2,)</f>
        <v>#NAME?</v>
      </c>
      <c r="Q1" t="e">
        <f ca="1">_xll.RiskCDS1([0]!pricecorrelation,[0]!pricecorrelation,Sheet3!A1)</f>
        <v>#NAME?</v>
      </c>
      <c r="R1" t="e">
        <f ca="1">_xll.RiskCDS2(Sheet3!Q1,3,)</f>
        <v>#NAME?</v>
      </c>
      <c r="S1" t="e">
        <f ca="1">_xll.RiskCDS2(Sheet3!Q1,4,)</f>
        <v>#NAME?</v>
      </c>
      <c r="T1" t="e">
        <f ca="1">_xll.RiskCDS1([0]!Activity2animalproductivity,[0]!Activity2animalproductivity,Sheet3!A1)</f>
        <v>#NAME?</v>
      </c>
      <c r="U1" t="e">
        <f ca="1">_xll.RiskCDS2(Sheet3!T1,1,)</f>
        <v>#NAME?</v>
      </c>
      <c r="V1" t="e">
        <f ca="1">_xll.RiskCDS2(Sheet3!T1,2,)</f>
        <v>#NAME?</v>
      </c>
      <c r="W1" t="e">
        <f ca="1">_xll.RiskCDS2(Sheet3!T1,3,)</f>
        <v>#NAME?</v>
      </c>
      <c r="X1" t="e">
        <f ca="1">_xll.RiskCDS1([0]!SummerCropYield,[0]!SummerCropYield,Sheet3!A1)</f>
        <v>#NAME?</v>
      </c>
      <c r="Y1" t="e">
        <f ca="1">_xll.RiskCDS2(Sheet3!X1,3,)</f>
        <v>#NAME?</v>
      </c>
      <c r="Z1" t="e">
        <f ca="1">_xll.RiskCDS1([0]!WinterCropYields,[0]!WinterCropYields,Sheet3!A1)</f>
        <v>#NAME?</v>
      </c>
      <c r="AA1" t="e">
        <f ca="1">_xll.RiskCDS2(Sheet3!Z1,3,)</f>
        <v>#NAME?</v>
      </c>
      <c r="AB1" t="e">
        <f ca="1">_xll.RiskCDS1([0]!pricecorrelation,[0]!pricecorrelation,Sheet3!A1)</f>
        <v>#NAME?</v>
      </c>
      <c r="AC1" t="e">
        <f ca="1">_xll.RiskCDS2(Sheet3!AB1,5,)</f>
        <v>#NAME?</v>
      </c>
      <c r="AD1" t="e">
        <f ca="1">_xll.RiskCDS2(Sheet3!AB1,6,)</f>
        <v>#NAME?</v>
      </c>
      <c r="AE1" t="e">
        <f ca="1">_xll.RiskCDS1([0]!Activity3animalproductivity,[0]!Activity3animalproductivity,Sheet3!A1)</f>
        <v>#NAME?</v>
      </c>
      <c r="AF1" t="e">
        <f ca="1">_xll.RiskCDS2(Sheet3!AE1,1,)</f>
        <v>#NAME?</v>
      </c>
      <c r="AG1" t="e">
        <f ca="1">_xll.RiskCDS2(Sheet3!AE1,2,)</f>
        <v>#NAME?</v>
      </c>
      <c r="AH1" t="e">
        <f ca="1">_xll.RiskCDS2(Sheet3!AE1,3,)</f>
        <v>#NAME?</v>
      </c>
      <c r="AI1" t="e">
        <f ca="1">_xll.RiskCDS1([0]!SummerCropYield,[0]!SummerCropYield,Sheet3!A1)</f>
        <v>#NAME?</v>
      </c>
      <c r="AJ1" t="e">
        <f ca="1">_xll.RiskCDS2(Sheet3!AI1,4,)</f>
        <v>#NAME?</v>
      </c>
      <c r="AK1" t="e">
        <f ca="1">_xll.RiskCDS1([0]!WinterCropYields,[0]!WinterCropYields,Sheet3!A1)</f>
        <v>#NAME?</v>
      </c>
      <c r="AL1" t="e">
        <f ca="1">_xll.RiskCDS2(Sheet3!AK1,4,)</f>
        <v>#NAME?</v>
      </c>
      <c r="AM1" t="e">
        <f ca="1">_xll.RiskCDS1([0]!pricecorrelation,[0]!pricecorrelation,Sheet3!A1)</f>
        <v>#NAME?</v>
      </c>
      <c r="AN1" t="e">
        <f ca="1">_xll.RiskCDS2(Sheet3!AM1,7,)</f>
        <v>#NAME?</v>
      </c>
      <c r="AO1" t="e">
        <f ca="1">_xll.RiskCDS2(Sheet3!AM1,8,)</f>
        <v>#NAME?</v>
      </c>
      <c r="AP1" t="e">
        <f ca="1">_xll.RiskCDS1([0]!Activity4animalproductivity,[0]!Activity4animalproductivity,Sheet3!A1)</f>
        <v>#NAME?</v>
      </c>
      <c r="AQ1" t="e">
        <f ca="1">_xll.RiskCDS2(Sheet3!AP1,1,)</f>
        <v>#NAME?</v>
      </c>
      <c r="AR1" t="e">
        <f ca="1">_xll.RiskCDS2(Sheet3!AP1,2,)</f>
        <v>#NAME?</v>
      </c>
      <c r="AS1" t="e">
        <f ca="1">_xll.RiskCDS2(Sheet3!AP1,3,)</f>
        <v>#NAME?</v>
      </c>
      <c r="AT1" t="e">
        <f ca="1">_xll.RiskCDS1([0]!SummerCropYield,[0]!SummerCropYield,Sheet3!A1)</f>
        <v>#NAME?</v>
      </c>
      <c r="AU1" t="e">
        <f ca="1">_xll.RiskCDS2(Sheet3!AT1,5,)</f>
        <v>#NAME?</v>
      </c>
      <c r="AV1" t="e">
        <f ca="1">_xll.RiskCDS1([0]!WinterCropYields,[0]!WinterCropYields,Sheet3!A1)</f>
        <v>#NAME?</v>
      </c>
      <c r="AW1" t="e">
        <f ca="1">_xll.RiskCDS2(Sheet3!AV1,5,)</f>
        <v>#NAME?</v>
      </c>
      <c r="AX1" t="e">
        <f ca="1">_xll.RiskCDS1([0]!pricecorrelation,[0]!pricecorrelation,Sheet3!A1)</f>
        <v>#NAME?</v>
      </c>
      <c r="AY1" t="e">
        <f ca="1">_xll.RiskCDS2(Sheet3!AX1,9,)</f>
        <v>#NAME?</v>
      </c>
      <c r="AZ1" t="e">
        <f ca="1">_xll.RiskCDS2(Sheet3!AX1,10,)</f>
        <v>#NAME?</v>
      </c>
      <c r="BA1" t="e">
        <f ca="1">_xll.RiskCDS1([0]!Activity5animalproductivity,[0]!Activity5animalproductivity,Sheet3!A1)</f>
        <v>#NAME?</v>
      </c>
      <c r="BB1" t="e">
        <f ca="1">_xll.RiskCDS2(Sheet3!BA1,1,)</f>
        <v>#NAME?</v>
      </c>
      <c r="BC1" t="e">
        <f ca="1">_xll.RiskCDS2(Sheet3!BA1,2,)</f>
        <v>#NAME?</v>
      </c>
      <c r="BD1" t="e">
        <f ca="1">_xll.RiskCDS2(Sheet3!BA1,3,)</f>
        <v>#NAME?</v>
      </c>
      <c r="BE1" t="e">
        <f ca="1">_xll.RiskCDS1([0]!SummerCropYield,[0]!SummerCropYield,Sheet3!A1)</f>
        <v>#NAME?</v>
      </c>
      <c r="BF1" t="e">
        <f ca="1">_xll.RiskCDS2(Sheet3!BE1,6,)</f>
        <v>#NAME?</v>
      </c>
      <c r="BG1" t="e">
        <f ca="1">_xll.RiskCDS1([0]!WinterCropYields,[0]!WinterCropYields,Sheet3!A1)</f>
        <v>#NAME?</v>
      </c>
      <c r="BH1" t="e">
        <f ca="1">_xll.RiskCDS2(Sheet3!BG1,6,)</f>
        <v>#NAME?</v>
      </c>
      <c r="BI1" t="e">
        <f ca="1">_xll.RiskCDS1([0]!pricecorrelation,[0]!pricecorrelation,Sheet3!A1)</f>
        <v>#NAME?</v>
      </c>
      <c r="BJ1" t="e">
        <f ca="1">_xll.RiskCDS2(Sheet3!BI1,11,)</f>
        <v>#NAME?</v>
      </c>
      <c r="BK1" t="e">
        <f ca="1">_xll.RiskCDS2(Sheet3!BI1,12,)</f>
        <v>#NAME?</v>
      </c>
      <c r="BL1" t="e">
        <f ca="1">_xll.RiskCDS1([0]!Activity6animalproductivity,[0]!Activity6animalproductivity,Sheet3!A1)</f>
        <v>#NAME?</v>
      </c>
      <c r="BM1" t="e">
        <f ca="1">_xll.RiskCDS2(Sheet3!BL1,1,)</f>
        <v>#NAME?</v>
      </c>
      <c r="BN1" t="e">
        <f ca="1">_xll.RiskCDS2(Sheet3!BL1,2,)</f>
        <v>#NAME?</v>
      </c>
      <c r="BO1" t="e">
        <f ca="1">_xll.RiskCDS2(Sheet3!BL1,3,)</f>
        <v>#NAME?</v>
      </c>
      <c r="BP1" t="e">
        <f ca="1">_xll.RiskCDS1([0]!SummerCropYield,[0]!SummerCropYield,Sheet3!A1)</f>
        <v>#NAME?</v>
      </c>
      <c r="BQ1" t="e">
        <f ca="1">_xll.RiskCDS2(Sheet3!BP1,7,)</f>
        <v>#NAME?</v>
      </c>
      <c r="BR1" t="e">
        <f ca="1">_xll.RiskCDS1([0]!WinterCropYields,[0]!WinterCropYields,Sheet3!A1)</f>
        <v>#NAME?</v>
      </c>
      <c r="BS1" t="e">
        <f ca="1">_xll.RiskCDS2(Sheet3!BR1,7,)</f>
        <v>#NAME?</v>
      </c>
      <c r="BT1" t="e">
        <f ca="1">_xll.RiskCDS1([0]!pricecorrelation,[0]!pricecorrelation,Sheet3!A1)</f>
        <v>#NAME?</v>
      </c>
      <c r="BU1" t="e">
        <f ca="1">_xll.RiskCDS2(Sheet3!BT1,13,)</f>
        <v>#NAME?</v>
      </c>
      <c r="BV1" t="e">
        <f ca="1">_xll.RiskCDS2(Sheet3!BT1,14,)</f>
        <v>#NAME?</v>
      </c>
      <c r="BW1" t="e">
        <f ca="1">_xll.RiskCDS1([0]!Activity7animalproductivity,[0]!Activity7animalproductivity,Sheet3!A1)</f>
        <v>#NAME?</v>
      </c>
      <c r="BX1" t="e">
        <f ca="1">_xll.RiskCDS2(Sheet3!BW1,1,)</f>
        <v>#NAME?</v>
      </c>
      <c r="BY1" t="e">
        <f ca="1">_xll.RiskCDS2(Sheet3!BW1,2,)</f>
        <v>#NAME?</v>
      </c>
      <c r="BZ1" t="e">
        <f ca="1">_xll.RiskCDS2(Sheet3!BW1,3,)</f>
        <v>#NAME?</v>
      </c>
      <c r="CA1" t="e">
        <f ca="1">_xll.RiskCDS1([0]!SummerCropYield,[0]!SummerCropYield,Sheet3!A1)</f>
        <v>#NAME?</v>
      </c>
      <c r="CB1" t="e">
        <f ca="1">_xll.RiskCDS2(Sheet3!CA1,8,)</f>
        <v>#NAME?</v>
      </c>
      <c r="CC1" t="e">
        <f ca="1">_xll.RiskCDS1([0]!WinterCropYields,[0]!WinterCropYields,Sheet3!A1)</f>
        <v>#NAME?</v>
      </c>
      <c r="CD1" t="e">
        <f ca="1">_xll.RiskCDS2(Sheet3!CC1,8,)</f>
        <v>#NAME?</v>
      </c>
      <c r="CE1" t="e">
        <f ca="1">_xll.RiskCDS1([0]!pricecorrelation,[0]!pricecorrelation,Sheet3!A1)</f>
        <v>#NAME?</v>
      </c>
      <c r="CF1" t="e">
        <f ca="1">_xll.RiskCDS2(Sheet3!CE1,15,)</f>
        <v>#NAME?</v>
      </c>
      <c r="CG1" t="e">
        <f ca="1">_xll.RiskCDS2(Sheet3!CE1,16,)</f>
        <v>#NAME?</v>
      </c>
      <c r="CH1" t="e">
        <f ca="1">_xll.RiskCDS1([0]!Activity8animalproductivity,[0]!Activity8animalproductivity,Sheet3!A1)</f>
        <v>#NAME?</v>
      </c>
      <c r="CI1" t="e">
        <f ca="1">_xll.RiskCDS2(Sheet3!CH1,1,)</f>
        <v>#NAME?</v>
      </c>
      <c r="CJ1" t="e">
        <f ca="1">_xll.RiskCDS2(Sheet3!CH1,2,)</f>
        <v>#NAME?</v>
      </c>
      <c r="CK1" t="e">
        <f ca="1">_xll.RiskCDS2(Sheet3!CH1,3,)</f>
        <v>#NAME?</v>
      </c>
      <c r="CL1" t="e">
        <f ca="1">_xll.RiskCDS1([0]!SummerCropYield,[0]!SummerCropYield,Sheet3!A1)</f>
        <v>#NAME?</v>
      </c>
      <c r="CM1" t="e">
        <f ca="1">_xll.RiskCDS2(Sheet3!CL1,9,)</f>
        <v>#NAME?</v>
      </c>
      <c r="CN1" t="e">
        <f ca="1">_xll.RiskCDS1([0]!WinterCropYields,[0]!WinterCropYields,Sheet3!A1)</f>
        <v>#NAME?</v>
      </c>
      <c r="CO1" t="e">
        <f ca="1">_xll.RiskCDS2(Sheet3!CN1,9,)</f>
        <v>#NAME?</v>
      </c>
      <c r="CP1" t="e">
        <f ca="1">_xll.RiskCDS1([0]!pricecorrelation,[0]!pricecorrelation,Sheet3!A1)</f>
        <v>#NAME?</v>
      </c>
      <c r="CQ1" t="e">
        <f ca="1">_xll.RiskCDS2(Sheet3!CP1,17,)</f>
        <v>#NAME?</v>
      </c>
      <c r="CR1" t="e">
        <f ca="1">_xll.RiskCDS2(Sheet3!CP1,18,)</f>
        <v>#NAME?</v>
      </c>
      <c r="CS1" t="e">
        <f ca="1">_xll.RiskCDS1([0]!Activity9animalproductivity,[0]!Activity9animalproductivity,Sheet3!A1)</f>
        <v>#NAME?</v>
      </c>
      <c r="CT1" t="e">
        <f ca="1">_xll.RiskCDS2(Sheet3!CS1,1,)</f>
        <v>#NAME?</v>
      </c>
      <c r="CU1" t="e">
        <f ca="1">_xll.RiskCDS2(Sheet3!CS1,2,)</f>
        <v>#NAME?</v>
      </c>
      <c r="CV1" t="e">
        <f ca="1">_xll.RiskCDS2(Sheet3!CS1,3,)</f>
        <v>#NAME?</v>
      </c>
      <c r="CW1" t="e">
        <f ca="1">_xll.RiskCDS1([0]!SummerCropYield,[0]!SummerCropYield,Sheet3!A1)</f>
        <v>#NAME?</v>
      </c>
      <c r="CX1" t="e">
        <f ca="1">_xll.RiskCDS2(Sheet3!CW1,10,)</f>
        <v>#NAME?</v>
      </c>
      <c r="CY1" t="e">
        <f ca="1">_xll.RiskCDS1([0]!WinterCropYields,[0]!WinterCropYields,Sheet3!A1)</f>
        <v>#NAME?</v>
      </c>
      <c r="CZ1" t="e">
        <f ca="1">_xll.RiskCDS2(Sheet3!CY1,10,)</f>
        <v>#NAME?</v>
      </c>
      <c r="DA1" t="e">
        <f ca="1">_xll.RiskCDS1([0]!pricecorrelation,[0]!pricecorrelation,Sheet3!A1)</f>
        <v>#NAME?</v>
      </c>
      <c r="DB1" t="e">
        <f ca="1">_xll.RiskCDS2(Sheet3!DA1,19,)</f>
        <v>#NAME?</v>
      </c>
      <c r="DC1" t="e">
        <f ca="1">_xll.RiskCDS2(Sheet3!DA1,20,)</f>
        <v>#NAME?</v>
      </c>
      <c r="DD1" t="e">
        <f ca="1">_xll.RiskCDS1([0]!Activity10animalproductivity,[0]!Activity10animalproductivity,Sheet3!A1)</f>
        <v>#NAME?</v>
      </c>
      <c r="DE1" t="e">
        <f ca="1">_xll.RiskCDS2(Sheet3!DD1,1,)</f>
        <v>#NAME?</v>
      </c>
      <c r="DF1" t="e">
        <f ca="1">_xll.RiskCDS2(Sheet3!DD1,2,)</f>
        <v>#NAME?</v>
      </c>
      <c r="DG1" t="e">
        <f ca="1">_xll.RiskCDS2(Sheet3!DD1,3,)</f>
        <v>#NAME?</v>
      </c>
      <c r="DH1" t="e">
        <v>#VALUE!</v>
      </c>
      <c r="DI1" t="e">
        <f ca="1">_xll.RiskCDS2(Sheet3!DH1,1,)</f>
        <v>#NAME?</v>
      </c>
      <c r="DJ1" t="e">
        <v>#VALUE!</v>
      </c>
      <c r="DK1" t="e">
        <f ca="1">_xll.RiskCDS2(Sheet3!DJ1,1,)</f>
        <v>#NAME?</v>
      </c>
      <c r="DL1" t="e">
        <v>#VALUE!</v>
      </c>
      <c r="DM1" t="e">
        <f ca="1">_xll.RiskCDS2(Sheet3!DL1,1,)</f>
        <v>#NAME?</v>
      </c>
      <c r="DN1" t="e">
        <f ca="1">_xll.RiskCDS2(Sheet3!DL1,2,)</f>
        <v>#NAME?</v>
      </c>
      <c r="DO1" t="e">
        <v>#VALUE!</v>
      </c>
      <c r="DP1" t="e">
        <f ca="1">_xll.RiskCDS2(Sheet3!DO1,1,)</f>
        <v>#NAME?</v>
      </c>
      <c r="DQ1" t="e">
        <f ca="1">_xll.RiskCDS2(Sheet3!DO1,2,)</f>
        <v>#NAME?</v>
      </c>
      <c r="DR1" t="e">
        <f ca="1">_xll.RiskCDS2(Sheet3!DO1,3,)</f>
        <v>#NAME?</v>
      </c>
      <c r="DS1" t="e">
        <v>#VALUE!</v>
      </c>
      <c r="DT1" t="e">
        <f ca="1">_xll.RiskCDS2(Sheet3!DS1,2,)</f>
        <v>#NAME?</v>
      </c>
      <c r="DU1" t="e">
        <v>#VALUE!</v>
      </c>
      <c r="DV1" t="e">
        <f ca="1">_xll.RiskCDS2(Sheet3!DU1,2,)</f>
        <v>#NAME?</v>
      </c>
      <c r="DW1" t="e">
        <v>#VALUE!</v>
      </c>
      <c r="DX1" t="e">
        <f ca="1">_xll.RiskCDS2(Sheet3!DW1,3,)</f>
        <v>#NAME?</v>
      </c>
      <c r="DY1" t="e">
        <f ca="1">_xll.RiskCDS2(Sheet3!DW1,4,)</f>
        <v>#NAME?</v>
      </c>
      <c r="DZ1" t="e">
        <v>#VALUE!</v>
      </c>
      <c r="EA1" t="e">
        <f ca="1">_xll.RiskCDS2(Sheet3!DZ1,1,)</f>
        <v>#NAME?</v>
      </c>
      <c r="EB1" t="e">
        <f ca="1">_xll.RiskCDS2(Sheet3!DZ1,2,)</f>
        <v>#NAME?</v>
      </c>
      <c r="EC1" t="e">
        <f ca="1">_xll.RiskCDS2(Sheet3!DZ1,3,)</f>
        <v>#NAME?</v>
      </c>
      <c r="ED1" t="e">
        <v>#VALUE!</v>
      </c>
      <c r="EE1" t="e">
        <f ca="1">_xll.RiskCDS2(Sheet3!ED1,3,)</f>
        <v>#NAME?</v>
      </c>
      <c r="EF1" t="e">
        <v>#VALUE!</v>
      </c>
      <c r="EG1" t="e">
        <f ca="1">_xll.RiskCDS2(Sheet3!EF1,3,)</f>
        <v>#NAME?</v>
      </c>
      <c r="EH1" t="e">
        <v>#VALUE!</v>
      </c>
      <c r="EI1" t="e">
        <f ca="1">_xll.RiskCDS2(Sheet3!EH1,5,)</f>
        <v>#NAME?</v>
      </c>
      <c r="EJ1" t="e">
        <f ca="1">_xll.RiskCDS2(Sheet3!EH1,6,)</f>
        <v>#NAME?</v>
      </c>
      <c r="EK1" t="e">
        <v>#VALUE!</v>
      </c>
      <c r="EL1" t="e">
        <f ca="1">_xll.RiskCDS2(Sheet3!EK1,1,)</f>
        <v>#NAME?</v>
      </c>
      <c r="EM1" t="e">
        <f ca="1">_xll.RiskCDS2(Sheet3!EK1,2,)</f>
        <v>#NAME?</v>
      </c>
      <c r="EN1" t="e">
        <f ca="1">_xll.RiskCDS2(Sheet3!EK1,3,)</f>
        <v>#NAME?</v>
      </c>
      <c r="EO1" t="e">
        <v>#VALUE!</v>
      </c>
      <c r="EP1" t="e">
        <f ca="1">_xll.RiskCDS2(Sheet3!EO1,4,)</f>
        <v>#NAME?</v>
      </c>
      <c r="EQ1" t="e">
        <v>#VALUE!</v>
      </c>
      <c r="ER1" t="e">
        <f ca="1">_xll.RiskCDS2(Sheet3!EQ1,4,)</f>
        <v>#NAME?</v>
      </c>
      <c r="ES1" t="e">
        <v>#VALUE!</v>
      </c>
      <c r="ET1" t="e">
        <f ca="1">_xll.RiskCDS2(Sheet3!ES1,7,)</f>
        <v>#NAME?</v>
      </c>
      <c r="EU1" t="e">
        <f ca="1">_xll.RiskCDS2(Sheet3!ES1,8,)</f>
        <v>#NAME?</v>
      </c>
      <c r="EV1" t="e">
        <v>#VALUE!</v>
      </c>
      <c r="EW1" t="e">
        <f ca="1">_xll.RiskCDS2(Sheet3!EV1,1,)</f>
        <v>#NAME?</v>
      </c>
      <c r="EX1" t="e">
        <f ca="1">_xll.RiskCDS2(Sheet3!EV1,2,)</f>
        <v>#NAME?</v>
      </c>
      <c r="EY1" t="e">
        <f ca="1">_xll.RiskCDS2(Sheet3!EV1,3,)</f>
        <v>#NAME?</v>
      </c>
      <c r="EZ1" t="e">
        <v>#VALUE!</v>
      </c>
      <c r="FA1" t="e">
        <f ca="1">_xll.RiskCDS2(Sheet3!EZ1,5,)</f>
        <v>#NAME?</v>
      </c>
      <c r="FB1" t="e">
        <v>#VALUE!</v>
      </c>
      <c r="FC1" t="e">
        <f ca="1">_xll.RiskCDS2(Sheet3!FB1,5,)</f>
        <v>#NAME?</v>
      </c>
      <c r="FD1" t="e">
        <v>#VALUE!</v>
      </c>
      <c r="FE1" t="e">
        <f ca="1">_xll.RiskCDS2(Sheet3!FD1,9,)</f>
        <v>#NAME?</v>
      </c>
      <c r="FF1" t="e">
        <f ca="1">_xll.RiskCDS2(Sheet3!FD1,10,)</f>
        <v>#NAME?</v>
      </c>
      <c r="FG1" t="e">
        <v>#VALUE!</v>
      </c>
      <c r="FH1" t="e">
        <f ca="1">_xll.RiskCDS2(Sheet3!FG1,1,)</f>
        <v>#NAME?</v>
      </c>
      <c r="FI1" t="e">
        <f ca="1">_xll.RiskCDS2(Sheet3!FG1,2,)</f>
        <v>#NAME?</v>
      </c>
      <c r="FJ1" t="e">
        <f ca="1">_xll.RiskCDS2(Sheet3!FG1,3,)</f>
        <v>#NAME?</v>
      </c>
      <c r="FK1" t="e">
        <v>#VALUE!</v>
      </c>
      <c r="FL1" t="e">
        <f ca="1">_xll.RiskCDS2(Sheet3!FK1,6,)</f>
        <v>#NAME?</v>
      </c>
      <c r="FM1" t="e">
        <v>#VALUE!</v>
      </c>
      <c r="FN1" t="e">
        <f ca="1">_xll.RiskCDS2(Sheet3!FM1,6,)</f>
        <v>#NAME?</v>
      </c>
      <c r="FO1" t="e">
        <v>#VALUE!</v>
      </c>
      <c r="FP1" t="e">
        <f ca="1">_xll.RiskCDS2(Sheet3!FO1,11,)</f>
        <v>#NAME?</v>
      </c>
      <c r="FQ1" t="e">
        <f ca="1">_xll.RiskCDS2(Sheet3!FO1,12,)</f>
        <v>#NAME?</v>
      </c>
      <c r="FR1" t="e">
        <v>#VALUE!</v>
      </c>
      <c r="FS1" t="e">
        <f ca="1">_xll.RiskCDS2(Sheet3!FR1,1,)</f>
        <v>#NAME?</v>
      </c>
      <c r="FT1" t="e">
        <f ca="1">_xll.RiskCDS2(Sheet3!FR1,2,)</f>
        <v>#NAME?</v>
      </c>
      <c r="FU1" t="e">
        <f ca="1">_xll.RiskCDS2(Sheet3!FR1,3,)</f>
        <v>#NAME?</v>
      </c>
      <c r="FV1" t="e">
        <v>#VALUE!</v>
      </c>
      <c r="FW1" t="e">
        <f ca="1">_xll.RiskCDS2(Sheet3!FV1,7,)</f>
        <v>#NAME?</v>
      </c>
      <c r="FX1" t="e">
        <v>#VALUE!</v>
      </c>
      <c r="FY1" t="e">
        <f ca="1">_xll.RiskCDS2(Sheet3!FX1,7,)</f>
        <v>#NAME?</v>
      </c>
      <c r="FZ1" t="e">
        <v>#VALUE!</v>
      </c>
      <c r="GA1" t="e">
        <f ca="1">_xll.RiskCDS2(Sheet3!FZ1,13,)</f>
        <v>#NAME?</v>
      </c>
      <c r="GB1" t="e">
        <f ca="1">_xll.RiskCDS2(Sheet3!FZ1,14,)</f>
        <v>#NAME?</v>
      </c>
      <c r="GC1" t="e">
        <v>#VALUE!</v>
      </c>
      <c r="GD1" t="e">
        <f ca="1">_xll.RiskCDS2(Sheet3!GC1,1,)</f>
        <v>#NAME?</v>
      </c>
      <c r="GE1" t="e">
        <f ca="1">_xll.RiskCDS2(Sheet3!GC1,2,)</f>
        <v>#NAME?</v>
      </c>
      <c r="GF1" t="e">
        <f ca="1">_xll.RiskCDS2(Sheet3!GC1,3,)</f>
        <v>#NAME?</v>
      </c>
      <c r="GG1" t="e">
        <v>#VALUE!</v>
      </c>
      <c r="GH1" t="e">
        <f ca="1">_xll.RiskCDS2(Sheet3!GG1,8,)</f>
        <v>#NAME?</v>
      </c>
      <c r="GI1" t="e">
        <v>#VALUE!</v>
      </c>
      <c r="GJ1" t="e">
        <f ca="1">_xll.RiskCDS2(Sheet3!GI1,8,)</f>
        <v>#NAME?</v>
      </c>
      <c r="GK1" t="e">
        <v>#VALUE!</v>
      </c>
      <c r="GL1" t="e">
        <f ca="1">_xll.RiskCDS2(Sheet3!GK1,15,)</f>
        <v>#NAME?</v>
      </c>
      <c r="GM1" t="e">
        <f ca="1">_xll.RiskCDS2(Sheet3!GK1,16,)</f>
        <v>#NAME?</v>
      </c>
      <c r="GN1" t="e">
        <v>#VALUE!</v>
      </c>
      <c r="GO1" t="e">
        <f ca="1">_xll.RiskCDS2(Sheet3!GN1,1,)</f>
        <v>#NAME?</v>
      </c>
      <c r="GP1" t="e">
        <f ca="1">_xll.RiskCDS2(Sheet3!GN1,2,)</f>
        <v>#NAME?</v>
      </c>
      <c r="GQ1" t="e">
        <f ca="1">_xll.RiskCDS2(Sheet3!GN1,3,)</f>
        <v>#NAME?</v>
      </c>
      <c r="GR1" t="e">
        <v>#VALUE!</v>
      </c>
      <c r="GS1" t="e">
        <f ca="1">_xll.RiskCDS2(Sheet3!GR1,9,)</f>
        <v>#NAME?</v>
      </c>
      <c r="GT1" t="e">
        <v>#VALUE!</v>
      </c>
      <c r="GU1" t="e">
        <f ca="1">_xll.RiskCDS2(Sheet3!GT1,9,)</f>
        <v>#NAME?</v>
      </c>
      <c r="GV1" t="e">
        <v>#VALUE!</v>
      </c>
      <c r="GW1" t="e">
        <f ca="1">_xll.RiskCDS2(Sheet3!GV1,17,)</f>
        <v>#NAME?</v>
      </c>
      <c r="GX1" t="e">
        <f ca="1">_xll.RiskCDS2(Sheet3!GV1,18,)</f>
        <v>#NAME?</v>
      </c>
      <c r="GY1" t="e">
        <v>#VALUE!</v>
      </c>
      <c r="GZ1" t="e">
        <f ca="1">_xll.RiskCDS2(Sheet3!GY1,1,)</f>
        <v>#NAME?</v>
      </c>
      <c r="HA1" t="e">
        <f ca="1">_xll.RiskCDS2(Sheet3!GY1,2,)</f>
        <v>#NAME?</v>
      </c>
      <c r="HB1" t="e">
        <f ca="1">_xll.RiskCDS2(Sheet3!GY1,3,)</f>
        <v>#NAME?</v>
      </c>
      <c r="HC1" t="e">
        <v>#VALUE!</v>
      </c>
      <c r="HD1" t="e">
        <f ca="1">_xll.RiskCDS2(Sheet3!HC1,10,)</f>
        <v>#NAME?</v>
      </c>
      <c r="HE1" t="e">
        <v>#VALUE!</v>
      </c>
      <c r="HF1" t="e">
        <f ca="1">_xll.RiskCDS2(Sheet3!HE1,10,)</f>
        <v>#NAME?</v>
      </c>
      <c r="HG1" t="e">
        <v>#VALUE!</v>
      </c>
      <c r="HH1" t="e">
        <f ca="1">_xll.RiskCDS2(Sheet3!HG1,19,)</f>
        <v>#NAME?</v>
      </c>
      <c r="HI1" t="e">
        <f ca="1">_xll.RiskCDS2(Sheet3!HG1,20,)</f>
        <v>#NAME?</v>
      </c>
      <c r="HJ1" t="e">
        <v>#VALUE!</v>
      </c>
      <c r="HK1" t="e">
        <f ca="1">_xll.RiskCDS2(Sheet3!HJ1,1,)</f>
        <v>#NAME?</v>
      </c>
      <c r="HL1" t="e">
        <f ca="1">_xll.RiskCDS2(Sheet3!HJ1,2,)</f>
        <v>#NAME?</v>
      </c>
      <c r="HM1" t="e">
        <f ca="1">_xll.RiskCDS2(Sheet3!HJ1,3,)</f>
        <v>#NAME?</v>
      </c>
      <c r="HN1" t="e">
        <v>#VALUE!</v>
      </c>
      <c r="HO1" t="e">
        <f ca="1">_xll.RiskCDS2(Sheet3!HN1,1,)</f>
        <v>#NAME?</v>
      </c>
      <c r="HP1" t="e">
        <v>#VALUE!</v>
      </c>
      <c r="HQ1" t="e">
        <f ca="1">_xll.RiskCDS2(Sheet3!HP1,1,)</f>
        <v>#NAME?</v>
      </c>
      <c r="HR1" t="e">
        <v>#VALUE!</v>
      </c>
      <c r="HS1" t="e">
        <f ca="1">_xll.RiskCDS2(Sheet3!HR1,1,)</f>
        <v>#NAME?</v>
      </c>
      <c r="HT1" t="e">
        <f ca="1">_xll.RiskCDS2(Sheet3!HR1,2,)</f>
        <v>#NAME?</v>
      </c>
      <c r="HU1" t="e">
        <v>#VALUE!</v>
      </c>
      <c r="HV1" t="e">
        <f ca="1">_xll.RiskCDS2(Sheet3!HU1,1,)</f>
        <v>#NAME?</v>
      </c>
      <c r="HW1" t="e">
        <f ca="1">_xll.RiskCDS2(Sheet3!HU1,2,)</f>
        <v>#NAME?</v>
      </c>
      <c r="HX1" t="e">
        <f ca="1">_xll.RiskCDS2(Sheet3!HU1,3,)</f>
        <v>#NAME?</v>
      </c>
      <c r="HY1" t="e">
        <v>#VALUE!</v>
      </c>
      <c r="HZ1" t="e">
        <f ca="1">_xll.RiskCDS2(Sheet3!HY1,2,)</f>
        <v>#NAME?</v>
      </c>
      <c r="IA1" t="e">
        <v>#VALUE!</v>
      </c>
      <c r="IB1" t="e">
        <f ca="1">_xll.RiskCDS2(Sheet3!IA1,2,)</f>
        <v>#NAME?</v>
      </c>
      <c r="IC1" t="e">
        <v>#VALUE!</v>
      </c>
      <c r="ID1" t="e">
        <f ca="1">_xll.RiskCDS2(Sheet3!IC1,3,)</f>
        <v>#NAME?</v>
      </c>
      <c r="IE1" t="e">
        <f ca="1">_xll.RiskCDS2(Sheet3!IC1,4,)</f>
        <v>#NAME?</v>
      </c>
      <c r="IF1" t="e">
        <v>#VALUE!</v>
      </c>
      <c r="IG1" t="e">
        <f ca="1">_xll.RiskCDS2(Sheet3!IF1,1,)</f>
        <v>#NAME?</v>
      </c>
      <c r="IH1" t="e">
        <f ca="1">_xll.RiskCDS2(Sheet3!IF1,2,)</f>
        <v>#NAME?</v>
      </c>
      <c r="II1" t="e">
        <f ca="1">_xll.RiskCDS2(Sheet3!IF1,3,)</f>
        <v>#NAME?</v>
      </c>
      <c r="IJ1" t="e">
        <v>#VALUE!</v>
      </c>
      <c r="IK1" t="e">
        <f ca="1">_xll.RiskCDS2(Sheet3!IJ1,3,)</f>
        <v>#NAME?</v>
      </c>
      <c r="IL1" t="e">
        <v>#VALUE!</v>
      </c>
      <c r="IM1" t="e">
        <f ca="1">_xll.RiskCDS2(Sheet3!IL1,3,)</f>
        <v>#NAME?</v>
      </c>
      <c r="IN1" t="e">
        <v>#VALUE!</v>
      </c>
      <c r="IO1" t="e">
        <f ca="1">_xll.RiskCDS2(Sheet3!IN1,5,)</f>
        <v>#NAME?</v>
      </c>
      <c r="IP1" t="e">
        <f ca="1">_xll.RiskCDS2(Sheet3!IN1,6,)</f>
        <v>#NAME?</v>
      </c>
      <c r="IQ1" t="e">
        <v>#VALUE!</v>
      </c>
      <c r="IR1" t="e">
        <f ca="1">_xll.RiskCDS2(Sheet3!IQ1,1,)</f>
        <v>#NAME?</v>
      </c>
      <c r="IS1" t="e">
        <f ca="1">_xll.RiskCDS2(Sheet3!IQ1,2,)</f>
        <v>#NAME?</v>
      </c>
      <c r="IT1" t="e">
        <f ca="1">_xll.RiskCDS2(Sheet3!IQ1,3,)</f>
        <v>#NAME?</v>
      </c>
      <c r="IU1" t="e">
        <v>#VALUE!</v>
      </c>
      <c r="IV1" t="e">
        <f ca="1">_xll.RiskCDS2(Sheet3!IU1,4,)</f>
        <v>#NAME?</v>
      </c>
    </row>
    <row r="2" spans="1:256" x14ac:dyDescent="0.2">
      <c r="A2" t="e">
        <v>#VALUE!</v>
      </c>
      <c r="B2" t="e">
        <f ca="1">_xll.RiskCDS2(Sheet3!A2,4,)</f>
        <v>#NAME?</v>
      </c>
      <c r="C2" t="e">
        <v>#VALUE!</v>
      </c>
      <c r="D2" t="e">
        <f ca="1">_xll.RiskCDS2(Sheet3!C2,7,)</f>
        <v>#NAME?</v>
      </c>
      <c r="E2" t="e">
        <f ca="1">_xll.RiskCDS2(Sheet3!C2,8,)</f>
        <v>#NAME?</v>
      </c>
      <c r="F2" t="e">
        <v>#VALUE!</v>
      </c>
      <c r="G2" t="e">
        <f ca="1">_xll.RiskCDS2(Sheet3!F2,1,)</f>
        <v>#NAME?</v>
      </c>
      <c r="H2" t="e">
        <f ca="1">_xll.RiskCDS2(Sheet3!F2,2,)</f>
        <v>#NAME?</v>
      </c>
      <c r="I2" t="e">
        <f ca="1">_xll.RiskCDS2(Sheet3!F2,3,)</f>
        <v>#NAME?</v>
      </c>
      <c r="J2" t="e">
        <v>#VALUE!</v>
      </c>
      <c r="K2" t="e">
        <f ca="1">_xll.RiskCDS2(Sheet3!J2,5,)</f>
        <v>#NAME?</v>
      </c>
      <c r="L2" t="e">
        <v>#VALUE!</v>
      </c>
      <c r="M2" t="e">
        <f ca="1">_xll.RiskCDS2(Sheet3!L2,5,)</f>
        <v>#NAME?</v>
      </c>
      <c r="N2" t="e">
        <v>#VALUE!</v>
      </c>
      <c r="O2" t="e">
        <f ca="1">_xll.RiskCDS2(Sheet3!N2,9,)</f>
        <v>#NAME?</v>
      </c>
      <c r="P2" t="e">
        <f ca="1">_xll.RiskCDS2(Sheet3!N2,10,)</f>
        <v>#NAME?</v>
      </c>
      <c r="Q2" t="e">
        <v>#VALUE!</v>
      </c>
      <c r="R2" t="e">
        <f ca="1">_xll.RiskCDS2(Sheet3!Q2,1,)</f>
        <v>#NAME?</v>
      </c>
      <c r="S2" t="e">
        <f ca="1">_xll.RiskCDS2(Sheet3!Q2,2,)</f>
        <v>#NAME?</v>
      </c>
      <c r="T2" t="e">
        <f ca="1">_xll.RiskCDS2(Sheet3!Q2,3,)</f>
        <v>#NAME?</v>
      </c>
      <c r="U2" t="e">
        <v>#VALUE!</v>
      </c>
      <c r="V2" t="e">
        <f ca="1">_xll.RiskCDS2(Sheet3!U2,6,)</f>
        <v>#NAME?</v>
      </c>
      <c r="W2" t="e">
        <v>#VALUE!</v>
      </c>
      <c r="X2" t="e">
        <f ca="1">_xll.RiskCDS2(Sheet3!W2,6,)</f>
        <v>#NAME?</v>
      </c>
      <c r="Y2" t="e">
        <v>#VALUE!</v>
      </c>
      <c r="Z2" t="e">
        <f ca="1">_xll.RiskCDS2(Sheet3!Y2,11,)</f>
        <v>#NAME?</v>
      </c>
      <c r="AA2" t="e">
        <f ca="1">_xll.RiskCDS2(Sheet3!Y2,12,)</f>
        <v>#NAME?</v>
      </c>
      <c r="AB2" t="e">
        <v>#VALUE!</v>
      </c>
      <c r="AC2" t="e">
        <f ca="1">_xll.RiskCDS2(Sheet3!AB2,1,)</f>
        <v>#NAME?</v>
      </c>
      <c r="AD2" t="e">
        <f ca="1">_xll.RiskCDS2(Sheet3!AB2,2,)</f>
        <v>#NAME?</v>
      </c>
      <c r="AE2" t="e">
        <f ca="1">_xll.RiskCDS2(Sheet3!AB2,3,)</f>
        <v>#NAME?</v>
      </c>
      <c r="AF2" t="e">
        <v>#VALUE!</v>
      </c>
      <c r="AG2" t="e">
        <f ca="1">_xll.RiskCDS2(Sheet3!AF2,7,)</f>
        <v>#NAME?</v>
      </c>
      <c r="AH2" t="e">
        <v>#VALUE!</v>
      </c>
      <c r="AI2" t="e">
        <f ca="1">_xll.RiskCDS2(Sheet3!AH2,7,)</f>
        <v>#NAME?</v>
      </c>
      <c r="AJ2" t="e">
        <v>#VALUE!</v>
      </c>
      <c r="AK2" t="e">
        <f ca="1">_xll.RiskCDS2(Sheet3!AJ2,13,)</f>
        <v>#NAME?</v>
      </c>
      <c r="AL2" t="e">
        <f ca="1">_xll.RiskCDS2(Sheet3!AJ2,14,)</f>
        <v>#NAME?</v>
      </c>
      <c r="AM2" t="e">
        <v>#VALUE!</v>
      </c>
      <c r="AN2" t="e">
        <f ca="1">_xll.RiskCDS2(Sheet3!AM2,1,)</f>
        <v>#NAME?</v>
      </c>
      <c r="AO2" t="e">
        <f ca="1">_xll.RiskCDS2(Sheet3!AM2,2,)</f>
        <v>#NAME?</v>
      </c>
      <c r="AP2" t="e">
        <f ca="1">_xll.RiskCDS2(Sheet3!AM2,3,)</f>
        <v>#NAME?</v>
      </c>
      <c r="AQ2" t="e">
        <v>#VALUE!</v>
      </c>
      <c r="AR2" t="e">
        <f ca="1">_xll.RiskCDS2(Sheet3!AQ2,8,)</f>
        <v>#NAME?</v>
      </c>
      <c r="AS2" t="e">
        <v>#VALUE!</v>
      </c>
      <c r="AT2" t="e">
        <f ca="1">_xll.RiskCDS2(Sheet3!AS2,8,)</f>
        <v>#NAME?</v>
      </c>
      <c r="AU2" t="e">
        <v>#VALUE!</v>
      </c>
      <c r="AV2" t="e">
        <f ca="1">_xll.RiskCDS2(Sheet3!AU2,15,)</f>
        <v>#NAME?</v>
      </c>
      <c r="AW2" t="e">
        <f ca="1">_xll.RiskCDS2(Sheet3!AU2,16,)</f>
        <v>#NAME?</v>
      </c>
      <c r="AX2" t="e">
        <v>#VALUE!</v>
      </c>
      <c r="AY2" t="e">
        <f ca="1">_xll.RiskCDS2(Sheet3!AX2,1,)</f>
        <v>#NAME?</v>
      </c>
      <c r="AZ2" t="e">
        <f ca="1">_xll.RiskCDS2(Sheet3!AX2,2,)</f>
        <v>#NAME?</v>
      </c>
      <c r="BA2" t="e">
        <f ca="1">_xll.RiskCDS2(Sheet3!AX2,3,)</f>
        <v>#NAME?</v>
      </c>
      <c r="BB2" t="e">
        <v>#VALUE!</v>
      </c>
      <c r="BC2" t="e">
        <f ca="1">_xll.RiskCDS2(Sheet3!BB2,9,)</f>
        <v>#NAME?</v>
      </c>
      <c r="BD2" t="e">
        <v>#VALUE!</v>
      </c>
      <c r="BE2" t="e">
        <f ca="1">_xll.RiskCDS2(Sheet3!BD2,9,)</f>
        <v>#NAME?</v>
      </c>
      <c r="BF2" t="e">
        <v>#VALUE!</v>
      </c>
      <c r="BG2" t="e">
        <f ca="1">_xll.RiskCDS2(Sheet3!BF2,17,)</f>
        <v>#NAME?</v>
      </c>
      <c r="BH2" t="e">
        <f ca="1">_xll.RiskCDS2(Sheet3!BF2,18,)</f>
        <v>#NAME?</v>
      </c>
      <c r="BI2" t="e">
        <v>#VALUE!</v>
      </c>
      <c r="BJ2" t="e">
        <f ca="1">_xll.RiskCDS2(Sheet3!BI2,1,)</f>
        <v>#NAME?</v>
      </c>
      <c r="BK2" t="e">
        <f ca="1">_xll.RiskCDS2(Sheet3!BI2,2,)</f>
        <v>#NAME?</v>
      </c>
      <c r="BL2" t="e">
        <f ca="1">_xll.RiskCDS2(Sheet3!BI2,3,)</f>
        <v>#NAME?</v>
      </c>
      <c r="BM2" t="e">
        <v>#VALUE!</v>
      </c>
      <c r="BN2" t="e">
        <f ca="1">_xll.RiskCDS2(Sheet3!BM2,10,)</f>
        <v>#NAME?</v>
      </c>
      <c r="BO2" t="e">
        <v>#VALUE!</v>
      </c>
      <c r="BP2" t="e">
        <f ca="1">_xll.RiskCDS2(Sheet3!BO2,10,)</f>
        <v>#NAME?</v>
      </c>
      <c r="BQ2" t="e">
        <v>#VALUE!</v>
      </c>
      <c r="BR2" t="e">
        <f ca="1">_xll.RiskCDS2(Sheet3!BQ2,19,)</f>
        <v>#NAME?</v>
      </c>
      <c r="BS2" t="e">
        <f ca="1">_xll.RiskCDS2(Sheet3!BQ2,20,)</f>
        <v>#NAME?</v>
      </c>
      <c r="BT2" t="e">
        <v>#VALUE!</v>
      </c>
      <c r="BU2" t="e">
        <f ca="1">_xll.RiskCDS2(Sheet3!BT2,1,)</f>
        <v>#NAME?</v>
      </c>
      <c r="BV2" t="e">
        <f ca="1">_xll.RiskCDS2(Sheet3!BT2,2,)</f>
        <v>#NAME?</v>
      </c>
      <c r="BW2" t="e">
        <f ca="1">_xll.RiskCDS2(Sheet3!BT2,3,)</f>
        <v>#NAME?</v>
      </c>
    </row>
  </sheetData>
  <phoneticPr fontId="0" type="noConversion"/>
  <pageMargins left="0.75" right="0.75" top="1" bottom="1" header="0.5" footer="0.5"/>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R274"/>
  <sheetViews>
    <sheetView showGridLines="0" zoomScale="55" workbookViewId="0">
      <selection activeCell="K92" sqref="K92"/>
    </sheetView>
  </sheetViews>
  <sheetFormatPr defaultColWidth="8.77734375" defaultRowHeight="15" x14ac:dyDescent="0.25"/>
  <cols>
    <col min="1" max="1" width="14.6640625" style="193" customWidth="1"/>
    <col min="2" max="2" width="38" style="193" customWidth="1"/>
    <col min="3" max="3" width="28.6640625" style="193" customWidth="1"/>
    <col min="4" max="4" width="25.44140625" style="193" bestFit="1" customWidth="1"/>
    <col min="5" max="5" width="27.77734375" style="193" customWidth="1"/>
    <col min="6" max="6" width="28.33203125" style="193" customWidth="1"/>
    <col min="7" max="7" width="26.44140625" style="193" customWidth="1"/>
    <col min="8" max="8" width="25.88671875" style="193" customWidth="1"/>
    <col min="9" max="9" width="20.88671875" style="193" bestFit="1" customWidth="1"/>
    <col min="10" max="10" width="21.5546875" style="193" bestFit="1" customWidth="1"/>
    <col min="11" max="11" width="20.109375" style="193" customWidth="1"/>
    <col min="12" max="12" width="27.33203125" style="193" customWidth="1"/>
    <col min="13" max="13" width="20.88671875" style="193" customWidth="1"/>
    <col min="14" max="17" width="16.109375" style="193" customWidth="1"/>
    <col min="18" max="18" width="16.6640625" style="193" customWidth="1"/>
    <col min="19" max="19" width="13.44140625" style="193" customWidth="1"/>
    <col min="20" max="24" width="10.33203125" style="193" customWidth="1"/>
    <col min="25" max="25" width="40.109375" style="193" bestFit="1" customWidth="1"/>
    <col min="26" max="26" width="25.33203125" style="193" bestFit="1" customWidth="1"/>
    <col min="27" max="27" width="15.88671875" style="193" bestFit="1" customWidth="1"/>
    <col min="28" max="28" width="8.77734375" style="193" customWidth="1"/>
    <col min="29" max="29" width="21.44140625" style="193" bestFit="1" customWidth="1"/>
    <col min="30" max="30" width="14.5546875" style="193" bestFit="1" customWidth="1"/>
    <col min="31" max="31" width="12.109375" style="193" bestFit="1" customWidth="1"/>
    <col min="32" max="32" width="7.88671875" style="193" bestFit="1" customWidth="1"/>
    <col min="33" max="34" width="8.77734375" style="193"/>
    <col min="35" max="35" width="37.5546875" style="193" customWidth="1"/>
    <col min="36" max="36" width="21.44140625" style="193" bestFit="1" customWidth="1"/>
    <col min="37" max="37" width="32.109375" style="193" bestFit="1" customWidth="1"/>
    <col min="38" max="38" width="30.88671875" style="193" bestFit="1" customWidth="1"/>
    <col min="39" max="39" width="19" style="193" bestFit="1" customWidth="1"/>
    <col min="40" max="40" width="8.77734375" style="193"/>
    <col min="41" max="41" width="17.6640625" style="193" customWidth="1"/>
    <col min="42" max="42" width="12.109375" style="193" bestFit="1" customWidth="1"/>
    <col min="43" max="43" width="18.44140625" style="193" bestFit="1" customWidth="1"/>
    <col min="44" max="16384" width="8.77734375" style="193"/>
  </cols>
  <sheetData>
    <row r="1" spans="1:19" ht="26.25" x14ac:dyDescent="0.4">
      <c r="A1" s="192" t="s">
        <v>255</v>
      </c>
      <c r="D1" s="219" t="s">
        <v>403</v>
      </c>
    </row>
    <row r="2" spans="1:19" ht="13.5" customHeight="1" x14ac:dyDescent="0.4">
      <c r="A2" s="192"/>
    </row>
    <row r="3" spans="1:19" ht="21" x14ac:dyDescent="0.35">
      <c r="A3" s="194" t="s">
        <v>800</v>
      </c>
      <c r="B3" s="403" t="str">
        <f>'Gross margin summary'!D15</f>
        <v>Baseline buffel</v>
      </c>
      <c r="C3" s="402" t="s">
        <v>801</v>
      </c>
      <c r="D3" s="256">
        <v>100</v>
      </c>
      <c r="E3" s="194" t="s">
        <v>1000</v>
      </c>
    </row>
    <row r="4" spans="1:19" ht="15.75" x14ac:dyDescent="0.25">
      <c r="A4" s="195"/>
    </row>
    <row r="5" spans="1:19" ht="18" customHeight="1" x14ac:dyDescent="0.4">
      <c r="A5" s="192"/>
      <c r="M5"/>
      <c r="N5"/>
      <c r="O5"/>
      <c r="P5"/>
      <c r="Q5"/>
      <c r="R5"/>
      <c r="S5"/>
    </row>
    <row r="6" spans="1:19" ht="18" customHeight="1" x14ac:dyDescent="0.4">
      <c r="A6" s="192"/>
      <c r="I6" s="363" t="s">
        <v>804</v>
      </c>
      <c r="J6" s="364"/>
      <c r="K6" s="365"/>
      <c r="M6" s="580" t="s">
        <v>645</v>
      </c>
      <c r="N6" s="581"/>
      <c r="O6" s="582"/>
      <c r="P6"/>
      <c r="Q6"/>
      <c r="R6"/>
      <c r="S6"/>
    </row>
    <row r="7" spans="1:19" ht="18" customHeight="1" x14ac:dyDescent="0.4">
      <c r="A7" s="192"/>
      <c r="I7" s="324" t="s">
        <v>805</v>
      </c>
      <c r="J7" s="325"/>
      <c r="K7" s="201">
        <v>500</v>
      </c>
      <c r="M7" s="576" t="s">
        <v>646</v>
      </c>
      <c r="N7" s="577"/>
      <c r="O7" s="226">
        <f>C13</f>
        <v>240.2</v>
      </c>
      <c r="P7"/>
      <c r="Q7"/>
      <c r="R7"/>
      <c r="S7"/>
    </row>
    <row r="8" spans="1:19" ht="18" customHeight="1" x14ac:dyDescent="0.4">
      <c r="A8" s="192"/>
      <c r="B8" s="360" t="s">
        <v>806</v>
      </c>
      <c r="C8" s="361"/>
      <c r="I8" s="324" t="s">
        <v>914</v>
      </c>
      <c r="J8" s="325"/>
      <c r="K8" s="202">
        <f>C11</f>
        <v>11.85</v>
      </c>
      <c r="M8" s="576" t="s">
        <v>647</v>
      </c>
      <c r="N8" s="577"/>
      <c r="O8" s="341">
        <v>0</v>
      </c>
      <c r="P8"/>
      <c r="Q8"/>
      <c r="R8"/>
      <c r="S8"/>
    </row>
    <row r="9" spans="1:19" ht="18" customHeight="1" x14ac:dyDescent="0.4">
      <c r="A9" s="192"/>
      <c r="B9" s="196" t="s">
        <v>807</v>
      </c>
      <c r="C9" s="203">
        <v>6</v>
      </c>
      <c r="E9" s="362" t="s">
        <v>808</v>
      </c>
      <c r="F9" s="362" t="s">
        <v>809</v>
      </c>
      <c r="I9" s="324" t="s">
        <v>810</v>
      </c>
      <c r="J9" s="325"/>
      <c r="K9" s="204">
        <f>IF(K8=0,0,K7/K8)</f>
        <v>42.194092827004219</v>
      </c>
      <c r="M9" s="576" t="s">
        <v>648</v>
      </c>
      <c r="N9" s="577"/>
      <c r="O9" s="226">
        <f>O7*(1-O8)</f>
        <v>240.2</v>
      </c>
      <c r="P9"/>
      <c r="Q9"/>
      <c r="R9"/>
      <c r="S9"/>
    </row>
    <row r="10" spans="1:19" ht="18" customHeight="1" x14ac:dyDescent="0.25">
      <c r="B10" s="196" t="s">
        <v>811</v>
      </c>
      <c r="C10" s="203">
        <v>1</v>
      </c>
      <c r="D10" s="193" t="s">
        <v>812</v>
      </c>
      <c r="E10" s="205">
        <v>1</v>
      </c>
      <c r="F10" s="206" t="str">
        <f>C9&amp;" Months to "&amp;C9+11&amp;" Months"</f>
        <v>6 Months to 17 Months</v>
      </c>
      <c r="I10" s="324" t="s">
        <v>813</v>
      </c>
      <c r="J10" s="325"/>
      <c r="K10" s="207">
        <v>1.95</v>
      </c>
      <c r="L10" s="208"/>
      <c r="M10" s="576" t="s">
        <v>649</v>
      </c>
      <c r="N10" s="577"/>
      <c r="O10" s="207"/>
    </row>
    <row r="11" spans="1:19" ht="18" customHeight="1" x14ac:dyDescent="0.25">
      <c r="B11" s="196" t="s">
        <v>814</v>
      </c>
      <c r="C11" s="209">
        <v>11.85</v>
      </c>
      <c r="E11" s="205">
        <v>2</v>
      </c>
      <c r="F11" s="206" t="str">
        <f>G12&amp;" Months to "&amp;G13&amp;" Months"</f>
        <v>18 Months to 30 Months</v>
      </c>
      <c r="I11" s="324" t="s">
        <v>815</v>
      </c>
      <c r="J11" s="325"/>
      <c r="K11" s="210">
        <v>10</v>
      </c>
      <c r="L11" s="208"/>
      <c r="M11" s="576" t="s">
        <v>650</v>
      </c>
      <c r="N11" s="577"/>
      <c r="O11" s="233">
        <f>O10*O9</f>
        <v>0</v>
      </c>
    </row>
    <row r="12" spans="1:19" ht="18" customHeight="1" x14ac:dyDescent="0.25">
      <c r="B12" s="196" t="s">
        <v>816</v>
      </c>
      <c r="C12" s="211">
        <v>2</v>
      </c>
      <c r="E12" s="205">
        <v>3</v>
      </c>
      <c r="F12" s="206" t="str">
        <f>G13+1&amp;" Months to "&amp;G14&amp;" Months"</f>
        <v>31 Months to 42 Months</v>
      </c>
      <c r="G12" s="212">
        <f>C9+12</f>
        <v>18</v>
      </c>
      <c r="I12" s="324" t="s">
        <v>817</v>
      </c>
      <c r="J12" s="325"/>
      <c r="K12" s="207">
        <v>0</v>
      </c>
      <c r="L12" s="208"/>
      <c r="M12" s="576" t="s">
        <v>651</v>
      </c>
      <c r="N12" s="577"/>
      <c r="O12" s="341"/>
    </row>
    <row r="13" spans="1:19" ht="18" customHeight="1" x14ac:dyDescent="0.25">
      <c r="B13" s="196" t="s">
        <v>818</v>
      </c>
      <c r="C13" s="203">
        <v>240.2</v>
      </c>
      <c r="E13" s="205">
        <v>4</v>
      </c>
      <c r="F13" s="206" t="str">
        <f>G14+1&amp;" Months to "&amp;G15&amp;" Months"</f>
        <v>43 Months to 54 Months</v>
      </c>
      <c r="G13" s="212">
        <f>G12+12</f>
        <v>30</v>
      </c>
      <c r="I13" s="324" t="s">
        <v>915</v>
      </c>
      <c r="J13" s="325"/>
      <c r="K13" s="205">
        <f>C13</f>
        <v>240.2</v>
      </c>
      <c r="L13" s="208"/>
      <c r="M13" s="576" t="s">
        <v>652</v>
      </c>
      <c r="N13" s="577"/>
      <c r="O13" s="233">
        <f>O12*O11</f>
        <v>0</v>
      </c>
    </row>
    <row r="14" spans="1:19" ht="18" customHeight="1" x14ac:dyDescent="0.25">
      <c r="B14" s="213"/>
      <c r="C14" s="214"/>
      <c r="E14" s="205">
        <v>5</v>
      </c>
      <c r="F14" s="206" t="str">
        <f>G15+1&amp;" Months to "&amp;G16&amp;" Months"</f>
        <v>55 Months to 66 Months</v>
      </c>
      <c r="G14" s="212">
        <f>G13+12</f>
        <v>42</v>
      </c>
      <c r="I14" s="324" t="s">
        <v>916</v>
      </c>
      <c r="J14" s="325"/>
      <c r="K14" s="204">
        <f>(K10*K13)+K11+K12</f>
        <v>478.39</v>
      </c>
      <c r="L14" s="208"/>
      <c r="M14" s="576" t="s">
        <v>653</v>
      </c>
      <c r="N14" s="577"/>
      <c r="O14" s="207"/>
    </row>
    <row r="15" spans="1:19" ht="18" customHeight="1" x14ac:dyDescent="0.25">
      <c r="B15" s="196" t="s">
        <v>819</v>
      </c>
      <c r="C15" s="216">
        <f>C13*C12*C11</f>
        <v>5692.74</v>
      </c>
      <c r="G15" s="212">
        <f>G14+12</f>
        <v>54</v>
      </c>
      <c r="I15" s="324" t="s">
        <v>917</v>
      </c>
      <c r="J15" s="325"/>
      <c r="K15" s="204">
        <f>(K9+K11+K12)/K13</f>
        <v>0.21729430818902673</v>
      </c>
      <c r="L15" s="208"/>
      <c r="M15" s="576" t="s">
        <v>654</v>
      </c>
      <c r="N15" s="577"/>
      <c r="O15" s="207"/>
    </row>
    <row r="16" spans="1:19" ht="18" customHeight="1" x14ac:dyDescent="0.25">
      <c r="B16" s="196" t="s">
        <v>820</v>
      </c>
      <c r="C16" s="216">
        <f>C15/C11</f>
        <v>480.4</v>
      </c>
      <c r="G16" s="212">
        <f>G15+12</f>
        <v>66</v>
      </c>
      <c r="I16" s="324" t="s">
        <v>821</v>
      </c>
      <c r="J16" s="325"/>
      <c r="K16" s="204">
        <f>K14/K13</f>
        <v>1.991631973355537</v>
      </c>
      <c r="L16" s="208"/>
      <c r="M16" s="576" t="s">
        <v>655</v>
      </c>
      <c r="N16" s="577"/>
      <c r="O16" s="233">
        <f>O11-O13-O14-O15</f>
        <v>0</v>
      </c>
    </row>
    <row r="17" spans="2:21" ht="18" customHeight="1" x14ac:dyDescent="0.25">
      <c r="B17" s="196" t="s">
        <v>757</v>
      </c>
      <c r="C17" s="332">
        <f>C97/D3</f>
        <v>0.35249999999999998</v>
      </c>
      <c r="D17" s="196" t="s">
        <v>659</v>
      </c>
      <c r="E17" s="342">
        <f>H154/D3</f>
        <v>0.28337832449990202</v>
      </c>
      <c r="G17" s="212"/>
      <c r="L17" s="208"/>
      <c r="M17" s="576" t="s">
        <v>656</v>
      </c>
      <c r="N17" s="577"/>
      <c r="O17" s="226">
        <f>O7</f>
        <v>240.2</v>
      </c>
    </row>
    <row r="18" spans="2:21" ht="18" customHeight="1" x14ac:dyDescent="0.25">
      <c r="B18" s="196" t="s">
        <v>758</v>
      </c>
      <c r="C18" s="332">
        <f>D3/C97</f>
        <v>2.8368794326241136</v>
      </c>
      <c r="D18" s="196" t="s">
        <v>660</v>
      </c>
      <c r="E18" s="359">
        <f>D3/H154</f>
        <v>3.5288514100885151</v>
      </c>
      <c r="G18" s="212"/>
      <c r="L18" s="208"/>
      <c r="M18" s="576" t="s">
        <v>657</v>
      </c>
      <c r="N18" s="577"/>
      <c r="O18" s="233">
        <f>(O13+O14+O15)/O9</f>
        <v>0</v>
      </c>
    </row>
    <row r="19" spans="2:21" ht="18" customHeight="1" x14ac:dyDescent="0.25">
      <c r="G19" s="212"/>
      <c r="L19" s="208"/>
      <c r="M19" s="576" t="s">
        <v>658</v>
      </c>
      <c r="N19" s="577"/>
      <c r="O19" s="233">
        <f>O16/O17</f>
        <v>0</v>
      </c>
    </row>
    <row r="20" spans="2:21" ht="18" customHeight="1" x14ac:dyDescent="0.25">
      <c r="G20" s="212"/>
      <c r="L20" s="208"/>
      <c r="M20"/>
      <c r="N20"/>
      <c r="O20"/>
    </row>
    <row r="21" spans="2:21" ht="18" customHeight="1" x14ac:dyDescent="0.25">
      <c r="L21" s="208"/>
    </row>
    <row r="22" spans="2:21" ht="18" customHeight="1" x14ac:dyDescent="0.25">
      <c r="B22" s="334" t="s">
        <v>822</v>
      </c>
      <c r="C22" s="559">
        <f>(596-240)/C23</f>
        <v>0.4091954022988506</v>
      </c>
      <c r="D22" s="193" t="s">
        <v>823</v>
      </c>
      <c r="E22" s="336"/>
    </row>
    <row r="23" spans="2:21" ht="18" customHeight="1" x14ac:dyDescent="0.25">
      <c r="B23" s="334" t="s">
        <v>824</v>
      </c>
      <c r="C23" s="217">
        <v>870</v>
      </c>
      <c r="D23" s="193" t="s">
        <v>1001</v>
      </c>
    </row>
    <row r="24" spans="2:21" ht="18" customHeight="1" x14ac:dyDescent="0.25"/>
    <row r="25" spans="2:21" ht="18" customHeight="1" x14ac:dyDescent="0.25">
      <c r="B25" s="360" t="s">
        <v>825</v>
      </c>
      <c r="C25" s="578" t="s">
        <v>826</v>
      </c>
      <c r="D25" s="579"/>
      <c r="E25" s="578" t="s">
        <v>827</v>
      </c>
      <c r="F25" s="579"/>
      <c r="G25" s="578" t="s">
        <v>828</v>
      </c>
      <c r="H25" s="579"/>
      <c r="I25" s="578" t="s">
        <v>829</v>
      </c>
      <c r="J25" s="579"/>
      <c r="K25" s="578" t="s">
        <v>830</v>
      </c>
      <c r="L25" s="579"/>
    </row>
    <row r="26" spans="2:21" ht="18" customHeight="1" x14ac:dyDescent="0.25">
      <c r="B26" s="196"/>
      <c r="C26" s="366" t="s">
        <v>831</v>
      </c>
      <c r="D26" s="367" t="s">
        <v>832</v>
      </c>
      <c r="E26" s="366" t="s">
        <v>831</v>
      </c>
      <c r="F26" s="367" t="s">
        <v>832</v>
      </c>
      <c r="G26" s="366" t="s">
        <v>831</v>
      </c>
      <c r="H26" s="367" t="s">
        <v>832</v>
      </c>
      <c r="I26" s="366" t="s">
        <v>831</v>
      </c>
      <c r="J26" s="367" t="s">
        <v>832</v>
      </c>
      <c r="K26" s="366" t="s">
        <v>831</v>
      </c>
      <c r="L26" s="367" t="s">
        <v>832</v>
      </c>
    </row>
    <row r="27" spans="2:21" ht="18" customHeight="1" x14ac:dyDescent="0.25">
      <c r="B27" s="196" t="s">
        <v>833</v>
      </c>
      <c r="C27" s="414">
        <f>365*C22</f>
        <v>149.35632183908046</v>
      </c>
      <c r="D27" s="327">
        <f>IF(C27=0,0,C27+C13)</f>
        <v>389.55632183908045</v>
      </c>
      <c r="E27" s="414">
        <f>365*C22</f>
        <v>149.35632183908046</v>
      </c>
      <c r="F27" s="327">
        <f>IF(E27&lt;=0,0,E27+D27)</f>
        <v>538.91264367816098</v>
      </c>
      <c r="G27" s="414">
        <f>(C23-(365*2))*C22</f>
        <v>57.287356321839084</v>
      </c>
      <c r="H27" s="327">
        <f>IF(G27&lt;=0,0,G27+F27)</f>
        <v>596.20000000000005</v>
      </c>
      <c r="I27" s="414">
        <v>0</v>
      </c>
      <c r="J27" s="327">
        <f>IF(I27&lt;=0,0,I27+H27)</f>
        <v>0</v>
      </c>
      <c r="K27" s="414">
        <v>0</v>
      </c>
      <c r="L27" s="327">
        <f>IF(K27&lt;=0,0,K27+J27)</f>
        <v>0</v>
      </c>
    </row>
    <row r="28" spans="2:21" ht="18" customHeight="1" x14ac:dyDescent="0.25">
      <c r="B28" s="196" t="s">
        <v>834</v>
      </c>
      <c r="C28" s="414"/>
      <c r="D28" s="327">
        <f>IF(C28=0,0,C28+$C$13)</f>
        <v>0</v>
      </c>
      <c r="E28" s="414"/>
      <c r="F28" s="327">
        <f>IF(E28&lt;=0,0,E28+D28)</f>
        <v>0</v>
      </c>
      <c r="G28" s="414"/>
      <c r="H28" s="327">
        <f>IF(G28&lt;=0,0,G28+F28)</f>
        <v>0</v>
      </c>
      <c r="I28" s="414">
        <v>0</v>
      </c>
      <c r="J28" s="327">
        <f>IF(I28&lt;=0,0,I28+H28)</f>
        <v>0</v>
      </c>
      <c r="K28" s="414">
        <v>0</v>
      </c>
      <c r="L28" s="327">
        <f>IF(K28&lt;=0,0,K28+J28)</f>
        <v>0</v>
      </c>
    </row>
    <row r="29" spans="2:21" ht="18" customHeight="1" x14ac:dyDescent="0.25">
      <c r="B29" s="334" t="s">
        <v>770</v>
      </c>
      <c r="C29" s="327">
        <f t="shared" ref="C29:L29" si="0">IF(AND(C27&gt;0,C28&gt;0),(C27+C28)/2,IF(C27=0,C28,IF(C28=0,C27,0)))</f>
        <v>149.35632183908046</v>
      </c>
      <c r="D29" s="327">
        <f t="shared" si="0"/>
        <v>389.55632183908045</v>
      </c>
      <c r="E29" s="327">
        <f t="shared" si="0"/>
        <v>149.35632183908046</v>
      </c>
      <c r="F29" s="327">
        <f t="shared" si="0"/>
        <v>538.91264367816098</v>
      </c>
      <c r="G29" s="327">
        <f t="shared" si="0"/>
        <v>57.287356321839084</v>
      </c>
      <c r="H29" s="327">
        <f t="shared" si="0"/>
        <v>596.20000000000005</v>
      </c>
      <c r="I29" s="327">
        <f t="shared" si="0"/>
        <v>0</v>
      </c>
      <c r="J29" s="327">
        <f t="shared" si="0"/>
        <v>0</v>
      </c>
      <c r="K29" s="327">
        <f t="shared" si="0"/>
        <v>0</v>
      </c>
      <c r="L29" s="327">
        <f t="shared" si="0"/>
        <v>0</v>
      </c>
    </row>
    <row r="30" spans="2:21" ht="18" customHeight="1" x14ac:dyDescent="0.25">
      <c r="C30" s="218"/>
      <c r="E30" s="218"/>
      <c r="G30" s="218"/>
      <c r="I30" s="218"/>
      <c r="K30" s="218"/>
    </row>
    <row r="31" spans="2:21" ht="18" customHeight="1" x14ac:dyDescent="0.25">
      <c r="B31" s="360" t="s">
        <v>835</v>
      </c>
      <c r="C31" s="361"/>
    </row>
    <row r="32" spans="2:21" ht="18" customHeight="1" x14ac:dyDescent="0.25">
      <c r="B32" s="368" t="s">
        <v>836</v>
      </c>
      <c r="C32" s="368" t="s">
        <v>837</v>
      </c>
      <c r="L32" s="219"/>
      <c r="S32" s="220"/>
      <c r="T32" s="220"/>
      <c r="U32" s="220"/>
    </row>
    <row r="33" spans="2:21" ht="18" customHeight="1" x14ac:dyDescent="0.25">
      <c r="B33" s="206" t="str">
        <f>IF(ISERROR(VLOOKUP($C$10,$E$10:$F$14,1,FALSE)=TRUE),"",VLOOKUP($C$10,$E$10:$F$14,2,FALSE))</f>
        <v>6 Months to 17 Months</v>
      </c>
      <c r="C33" s="221">
        <v>0</v>
      </c>
      <c r="L33" s="218"/>
      <c r="M33" s="218"/>
      <c r="N33" s="218"/>
      <c r="O33" s="218"/>
      <c r="P33" s="218"/>
      <c r="S33" s="220"/>
      <c r="T33" s="220"/>
      <c r="U33" s="220"/>
    </row>
    <row r="34" spans="2:21" ht="18" customHeight="1" x14ac:dyDescent="0.25">
      <c r="B34" s="206" t="str">
        <f>IF(ISERROR(VLOOKUP($C$10+1,$E$10:$F$14,1,FALSE)=TRUE),"",VLOOKUP($C$10+1,$E$10:$F$14,2,FALSE))</f>
        <v>18 Months to 30 Months</v>
      </c>
      <c r="C34" s="221">
        <v>0</v>
      </c>
      <c r="K34" s="222"/>
      <c r="L34" s="218"/>
      <c r="M34" s="218"/>
      <c r="N34" s="218"/>
      <c r="O34" s="218"/>
      <c r="P34" s="218"/>
      <c r="S34" s="220"/>
      <c r="T34" s="220"/>
      <c r="U34" s="220"/>
    </row>
    <row r="35" spans="2:21" ht="18" customHeight="1" x14ac:dyDescent="0.25">
      <c r="B35" s="206" t="str">
        <f>IF(ISERROR(VLOOKUP($C$10+2,$E$10:$F$14,1,FALSE)=TRUE),"",VLOOKUP($C$10+2,$E$10:$F$14,2,FALSE))</f>
        <v>31 Months to 42 Months</v>
      </c>
      <c r="C35" s="221">
        <v>0</v>
      </c>
      <c r="K35" s="222"/>
      <c r="L35" s="218"/>
      <c r="M35" s="218"/>
      <c r="N35" s="218"/>
      <c r="O35" s="218"/>
      <c r="P35" s="218"/>
      <c r="S35" s="220"/>
      <c r="T35" s="220"/>
      <c r="U35" s="220"/>
    </row>
    <row r="36" spans="2:21" ht="18" customHeight="1" x14ac:dyDescent="0.25">
      <c r="B36" s="206" t="str">
        <f>IF(ISERROR(VLOOKUP($C$10+3,$E$10:$F$14,1,FALSE)=TRUE),"",VLOOKUP($C$10+3,$E$10:$F$14,2,FALSE))</f>
        <v>43 Months to 54 Months</v>
      </c>
      <c r="C36" s="221">
        <v>0</v>
      </c>
      <c r="K36" s="222"/>
      <c r="L36" s="218"/>
      <c r="M36" s="218"/>
      <c r="N36" s="218"/>
      <c r="O36" s="218"/>
      <c r="P36" s="218"/>
      <c r="S36" s="220"/>
      <c r="T36" s="220"/>
      <c r="U36" s="220"/>
    </row>
    <row r="37" spans="2:21" ht="18" customHeight="1" x14ac:dyDescent="0.25">
      <c r="B37" s="206" t="str">
        <f>IF(ISERROR(VLOOKUP($C$10+4,$E$10:$F$14,1,FALSE)=TRUE),"",VLOOKUP($C$10+4,$E$10:$F$14,2,FALSE))</f>
        <v>55 Months to 66 Months</v>
      </c>
      <c r="C37" s="221">
        <v>0</v>
      </c>
      <c r="K37" s="222"/>
      <c r="L37" s="218"/>
      <c r="M37" s="218"/>
      <c r="N37" s="218"/>
      <c r="O37" s="218"/>
      <c r="P37" s="218"/>
      <c r="S37" s="220"/>
      <c r="T37" s="220"/>
      <c r="U37" s="220"/>
    </row>
    <row r="38" spans="2:21" ht="18" customHeight="1" x14ac:dyDescent="0.25">
      <c r="K38" s="222"/>
      <c r="L38" s="218"/>
      <c r="M38" s="218"/>
      <c r="N38" s="218"/>
      <c r="O38" s="218"/>
      <c r="P38" s="218"/>
      <c r="S38" s="220"/>
      <c r="T38" s="220"/>
      <c r="U38" s="220"/>
    </row>
    <row r="39" spans="2:21" ht="18" customHeight="1" x14ac:dyDescent="0.25">
      <c r="B39" s="360" t="s">
        <v>838</v>
      </c>
      <c r="C39" s="369"/>
      <c r="D39" s="369"/>
      <c r="E39" s="361"/>
      <c r="L39" s="218"/>
      <c r="M39" s="218"/>
      <c r="N39" s="218"/>
      <c r="O39" s="218"/>
      <c r="P39" s="218"/>
      <c r="S39" s="220"/>
      <c r="T39" s="220"/>
      <c r="U39" s="220"/>
    </row>
    <row r="40" spans="2:21" ht="18" customHeight="1" x14ac:dyDescent="0.25">
      <c r="B40" s="368" t="s">
        <v>836</v>
      </c>
      <c r="C40" s="370" t="s">
        <v>839</v>
      </c>
      <c r="D40" s="370" t="s">
        <v>840</v>
      </c>
      <c r="E40" s="370" t="s">
        <v>841</v>
      </c>
      <c r="S40" s="220"/>
      <c r="T40" s="220"/>
      <c r="U40" s="220"/>
    </row>
    <row r="41" spans="2:21" ht="18" customHeight="1" x14ac:dyDescent="0.25">
      <c r="B41" s="206" t="str">
        <f>B33</f>
        <v>6 Months to 17 Months</v>
      </c>
      <c r="C41" s="221">
        <v>0</v>
      </c>
      <c r="D41" s="221">
        <v>0</v>
      </c>
      <c r="E41" s="223">
        <f>D41+C41</f>
        <v>0</v>
      </c>
      <c r="H41" s="224"/>
      <c r="R41" s="220"/>
      <c r="S41" s="220"/>
      <c r="T41" s="220"/>
      <c r="U41" s="220"/>
    </row>
    <row r="42" spans="2:21" ht="18" customHeight="1" x14ac:dyDescent="0.25">
      <c r="B42" s="206" t="str">
        <f>B34</f>
        <v>18 Months to 30 Months</v>
      </c>
      <c r="C42" s="221">
        <v>0</v>
      </c>
      <c r="D42" s="221">
        <v>0</v>
      </c>
      <c r="E42" s="223">
        <f>D42+C42</f>
        <v>0</v>
      </c>
      <c r="H42" s="224"/>
      <c r="R42" s="220"/>
      <c r="S42" s="220"/>
      <c r="T42" s="220"/>
      <c r="U42" s="220"/>
    </row>
    <row r="43" spans="2:21" ht="18" customHeight="1" x14ac:dyDescent="0.25">
      <c r="B43" s="206" t="str">
        <f>B35</f>
        <v>31 Months to 42 Months</v>
      </c>
      <c r="C43" s="221">
        <v>1</v>
      </c>
      <c r="D43" s="221">
        <v>0</v>
      </c>
      <c r="E43" s="223">
        <f>D43+C43</f>
        <v>1</v>
      </c>
      <c r="H43" s="224"/>
      <c r="L43" s="219"/>
      <c r="R43" s="220"/>
      <c r="S43" s="220"/>
      <c r="T43" s="220"/>
      <c r="U43" s="220"/>
    </row>
    <row r="44" spans="2:21" ht="18" customHeight="1" x14ac:dyDescent="0.25">
      <c r="B44" s="206" t="str">
        <f>B36</f>
        <v>43 Months to 54 Months</v>
      </c>
      <c r="C44" s="221">
        <v>0</v>
      </c>
      <c r="D44" s="221">
        <v>0</v>
      </c>
      <c r="E44" s="223">
        <f>D44+C44</f>
        <v>0</v>
      </c>
      <c r="H44" s="224"/>
      <c r="L44" s="218"/>
      <c r="M44" s="218"/>
      <c r="N44" s="218"/>
      <c r="O44" s="218"/>
      <c r="P44" s="218"/>
      <c r="R44" s="220"/>
      <c r="S44" s="220"/>
      <c r="T44" s="220"/>
      <c r="U44" s="220"/>
    </row>
    <row r="45" spans="2:21" ht="18" customHeight="1" x14ac:dyDescent="0.25">
      <c r="B45" s="206" t="str">
        <f>B37</f>
        <v>55 Months to 66 Months</v>
      </c>
      <c r="C45" s="221">
        <v>0</v>
      </c>
      <c r="D45" s="221">
        <v>0</v>
      </c>
      <c r="E45" s="223">
        <f>D45+C45</f>
        <v>0</v>
      </c>
      <c r="H45" s="224"/>
      <c r="K45" s="222"/>
      <c r="L45" s="218"/>
      <c r="M45" s="218"/>
      <c r="N45" s="218"/>
      <c r="O45" s="218"/>
      <c r="P45" s="218"/>
      <c r="R45" s="220"/>
      <c r="S45" s="220"/>
      <c r="T45" s="220"/>
      <c r="U45" s="220"/>
    </row>
    <row r="46" spans="2:21" x14ac:dyDescent="0.25">
      <c r="H46" s="224"/>
      <c r="K46" s="222"/>
      <c r="L46" s="218"/>
      <c r="M46" s="218"/>
      <c r="N46" s="218"/>
      <c r="O46" s="218"/>
      <c r="P46" s="218"/>
      <c r="R46" s="220"/>
      <c r="S46" s="220"/>
      <c r="T46" s="220"/>
      <c r="U46" s="220"/>
    </row>
    <row r="47" spans="2:21" x14ac:dyDescent="0.25">
      <c r="B47" s="225" t="s">
        <v>842</v>
      </c>
      <c r="H47" s="224"/>
      <c r="K47" s="222"/>
      <c r="L47" s="218"/>
      <c r="M47" s="218"/>
      <c r="N47" s="218"/>
      <c r="O47" s="218"/>
      <c r="P47" s="218"/>
      <c r="R47" s="220"/>
      <c r="S47" s="220"/>
      <c r="T47" s="220"/>
      <c r="U47" s="220"/>
    </row>
    <row r="48" spans="2:21" x14ac:dyDescent="0.25">
      <c r="B48" s="219"/>
      <c r="H48" s="224"/>
      <c r="K48" s="222"/>
      <c r="L48" s="218"/>
      <c r="M48" s="218"/>
      <c r="N48" s="218"/>
      <c r="O48" s="218"/>
      <c r="P48" s="218"/>
      <c r="R48" s="220"/>
      <c r="S48" s="220"/>
      <c r="T48" s="220"/>
      <c r="U48" s="220"/>
    </row>
    <row r="49" spans="2:21" x14ac:dyDescent="0.25">
      <c r="B49" s="362" t="s">
        <v>836</v>
      </c>
      <c r="C49" s="371" t="s">
        <v>843</v>
      </c>
      <c r="D49" s="362" t="s">
        <v>844</v>
      </c>
      <c r="E49" s="371" t="s">
        <v>845</v>
      </c>
      <c r="F49" s="362" t="s">
        <v>846</v>
      </c>
      <c r="G49" s="362" t="s">
        <v>847</v>
      </c>
      <c r="H49" s="362" t="s">
        <v>848</v>
      </c>
      <c r="K49" s="222"/>
      <c r="L49" s="218"/>
      <c r="M49" s="218"/>
      <c r="N49" s="218"/>
      <c r="O49" s="218"/>
      <c r="P49" s="218"/>
      <c r="R49" s="220"/>
      <c r="S49" s="220"/>
      <c r="T49" s="220"/>
      <c r="U49" s="220"/>
    </row>
    <row r="50" spans="2:21" x14ac:dyDescent="0.25">
      <c r="B50" s="206" t="str">
        <f>B33</f>
        <v>6 Months to 17 Months</v>
      </c>
      <c r="C50" s="226">
        <f>C11</f>
        <v>11.85</v>
      </c>
      <c r="D50" s="199">
        <f>ROUND(C33*C50,0)</f>
        <v>0</v>
      </c>
      <c r="E50" s="226">
        <f>C50-D50</f>
        <v>11.85</v>
      </c>
      <c r="F50" s="199">
        <f>IF($C$50&gt;0,ROUND(C41*($E$50),0),0)</f>
        <v>0</v>
      </c>
      <c r="G50" s="199">
        <f>IF(F50=0,0,IF(F50&gt;0,D27,0))</f>
        <v>0</v>
      </c>
      <c r="H50" s="203"/>
      <c r="K50" s="222"/>
      <c r="L50" s="218"/>
      <c r="M50" s="218"/>
      <c r="N50" s="218"/>
      <c r="O50" s="218"/>
      <c r="P50" s="218"/>
      <c r="R50" s="220"/>
      <c r="S50" s="220"/>
      <c r="T50" s="220"/>
      <c r="U50" s="220"/>
    </row>
    <row r="51" spans="2:21" x14ac:dyDescent="0.25">
      <c r="F51" s="199">
        <f>IF($C$50&gt;0,ROUND(D41*($E$50),0),0)</f>
        <v>0</v>
      </c>
      <c r="G51" s="199">
        <f>IF(F51=0,0,IF(F51&gt;0,D28,0))</f>
        <v>0</v>
      </c>
      <c r="H51" s="203"/>
      <c r="L51" s="218"/>
      <c r="M51" s="218"/>
      <c r="N51" s="218"/>
      <c r="O51" s="218"/>
      <c r="P51" s="218"/>
      <c r="R51" s="220"/>
      <c r="S51" s="220"/>
      <c r="T51" s="220"/>
      <c r="U51" s="220"/>
    </row>
    <row r="52" spans="2:21" x14ac:dyDescent="0.25">
      <c r="F52" s="227"/>
      <c r="G52" s="227"/>
      <c r="H52" s="228"/>
      <c r="L52" s="218"/>
      <c r="M52" s="218"/>
      <c r="N52" s="218"/>
      <c r="O52" s="218"/>
      <c r="P52" s="218"/>
      <c r="R52" s="220"/>
      <c r="S52" s="220"/>
      <c r="T52" s="220"/>
      <c r="U52" s="220"/>
    </row>
    <row r="53" spans="2:21" x14ac:dyDescent="0.25">
      <c r="B53" s="362" t="s">
        <v>836</v>
      </c>
      <c r="C53" s="371" t="s">
        <v>843</v>
      </c>
      <c r="D53" s="362" t="s">
        <v>844</v>
      </c>
      <c r="E53" s="371" t="s">
        <v>845</v>
      </c>
      <c r="F53" s="362" t="s">
        <v>846</v>
      </c>
      <c r="G53" s="362" t="s">
        <v>847</v>
      </c>
      <c r="H53" s="362" t="s">
        <v>848</v>
      </c>
      <c r="R53" s="220"/>
      <c r="S53" s="220"/>
      <c r="T53" s="220"/>
      <c r="U53" s="220"/>
    </row>
    <row r="54" spans="2:21" x14ac:dyDescent="0.25">
      <c r="B54" s="206" t="str">
        <f>B34</f>
        <v>18 Months to 30 Months</v>
      </c>
      <c r="C54" s="226">
        <f>C50-D50-F50-F51</f>
        <v>11.85</v>
      </c>
      <c r="D54" s="199">
        <f>ROUND(C54*C34,0)</f>
        <v>0</v>
      </c>
      <c r="E54" s="226">
        <f>C54-D54</f>
        <v>11.85</v>
      </c>
      <c r="F54" s="199">
        <f>IF($C$54&gt;0,ROUND((C42*($E$54)),0),0)</f>
        <v>0</v>
      </c>
      <c r="G54" s="199">
        <f>IF(F54=0,0,F27)</f>
        <v>0</v>
      </c>
      <c r="H54" s="203"/>
      <c r="R54" s="220"/>
      <c r="S54" s="220"/>
      <c r="T54" s="220"/>
      <c r="U54" s="220"/>
    </row>
    <row r="55" spans="2:21" x14ac:dyDescent="0.25">
      <c r="F55" s="199">
        <f>IF($C$54&gt;0,ROUND(D42*($E$54),0),0)</f>
        <v>0</v>
      </c>
      <c r="G55" s="199">
        <f>IF(F55=0,0,F28)</f>
        <v>0</v>
      </c>
      <c r="H55" s="203"/>
      <c r="R55" s="229"/>
      <c r="S55" s="229"/>
      <c r="T55" s="229"/>
      <c r="U55" s="229"/>
    </row>
    <row r="56" spans="2:21" x14ac:dyDescent="0.25">
      <c r="F56" s="227"/>
      <c r="G56" s="227"/>
      <c r="H56" s="228"/>
      <c r="R56" s="229"/>
      <c r="S56" s="229"/>
      <c r="T56" s="229"/>
      <c r="U56" s="229"/>
    </row>
    <row r="57" spans="2:21" x14ac:dyDescent="0.25">
      <c r="B57" s="362" t="s">
        <v>836</v>
      </c>
      <c r="C57" s="371" t="s">
        <v>843</v>
      </c>
      <c r="D57" s="362" t="s">
        <v>844</v>
      </c>
      <c r="E57" s="371" t="s">
        <v>845</v>
      </c>
      <c r="F57" s="362" t="s">
        <v>846</v>
      </c>
      <c r="G57" s="362" t="s">
        <v>847</v>
      </c>
      <c r="H57" s="362" t="s">
        <v>848</v>
      </c>
      <c r="R57" s="229"/>
      <c r="S57" s="229"/>
      <c r="T57" s="229"/>
      <c r="U57" s="229"/>
    </row>
    <row r="58" spans="2:21" x14ac:dyDescent="0.25">
      <c r="B58" s="206" t="str">
        <f>B35</f>
        <v>31 Months to 42 Months</v>
      </c>
      <c r="C58" s="226">
        <f>C54-D54-F54-F55</f>
        <v>11.85</v>
      </c>
      <c r="D58" s="199">
        <f>ROUND(C58*C35,0)</f>
        <v>0</v>
      </c>
      <c r="E58" s="226">
        <f>C58-D58</f>
        <v>11.85</v>
      </c>
      <c r="F58" s="199">
        <f>IF($C$58&gt;0,ROUND(C43*$E$58,0),0)</f>
        <v>12</v>
      </c>
      <c r="G58" s="199">
        <f>IF(F58=0,0,H27)</f>
        <v>596.20000000000005</v>
      </c>
      <c r="H58" s="203">
        <v>36</v>
      </c>
      <c r="L58" s="219"/>
      <c r="R58" s="229"/>
      <c r="S58" s="229"/>
      <c r="T58" s="229"/>
      <c r="U58" s="229"/>
    </row>
    <row r="59" spans="2:21" x14ac:dyDescent="0.25">
      <c r="F59" s="199">
        <f>IF($C$58&gt;0,ROUND(D43*$E$58,0),0)</f>
        <v>0</v>
      </c>
      <c r="G59" s="199">
        <f>IF(F59=0,0,H28)</f>
        <v>0</v>
      </c>
      <c r="H59" s="203"/>
      <c r="L59" s="218"/>
      <c r="M59" s="218"/>
      <c r="N59" s="218"/>
      <c r="O59" s="218"/>
      <c r="P59" s="218"/>
      <c r="R59" s="229"/>
      <c r="S59" s="229"/>
      <c r="T59" s="229"/>
      <c r="U59" s="229"/>
    </row>
    <row r="60" spans="2:21" x14ac:dyDescent="0.25">
      <c r="F60" s="227"/>
      <c r="G60" s="227"/>
      <c r="H60" s="228"/>
      <c r="L60" s="218"/>
      <c r="M60" s="218"/>
      <c r="N60" s="218"/>
      <c r="O60" s="218"/>
      <c r="P60" s="218"/>
      <c r="R60" s="229"/>
      <c r="S60" s="229"/>
      <c r="T60" s="229"/>
      <c r="U60" s="229"/>
    </row>
    <row r="61" spans="2:21" x14ac:dyDescent="0.25">
      <c r="B61" s="362" t="s">
        <v>836</v>
      </c>
      <c r="C61" s="371" t="s">
        <v>843</v>
      </c>
      <c r="D61" s="362" t="s">
        <v>844</v>
      </c>
      <c r="E61" s="371" t="s">
        <v>845</v>
      </c>
      <c r="F61" s="362" t="s">
        <v>846</v>
      </c>
      <c r="G61" s="362" t="s">
        <v>847</v>
      </c>
      <c r="H61" s="362" t="s">
        <v>848</v>
      </c>
      <c r="K61" s="222"/>
      <c r="L61" s="218"/>
      <c r="M61" s="218"/>
      <c r="N61" s="218"/>
      <c r="O61" s="218"/>
      <c r="P61" s="218"/>
      <c r="R61" s="229"/>
      <c r="S61" s="229"/>
      <c r="T61" s="229"/>
      <c r="U61" s="229"/>
    </row>
    <row r="62" spans="2:21" x14ac:dyDescent="0.25">
      <c r="B62" s="206" t="str">
        <f>B36</f>
        <v>43 Months to 54 Months</v>
      </c>
      <c r="C62" s="226">
        <f>C58-D58-F58-F59</f>
        <v>-0.15000000000000036</v>
      </c>
      <c r="D62" s="199">
        <f>ROUND(C62*C36,0)</f>
        <v>0</v>
      </c>
      <c r="E62" s="226">
        <f>C62-D62</f>
        <v>-0.15000000000000036</v>
      </c>
      <c r="F62" s="199">
        <f>IF($C$62&gt;0,ROUND(C44*$E$62,0),0)</f>
        <v>0</v>
      </c>
      <c r="G62" s="199">
        <f>IF(F62=0,0,J27)</f>
        <v>0</v>
      </c>
      <c r="H62" s="203"/>
      <c r="K62" s="222"/>
      <c r="L62" s="218"/>
      <c r="M62" s="218"/>
      <c r="N62" s="218"/>
      <c r="O62" s="218"/>
      <c r="P62" s="218"/>
      <c r="R62" s="229"/>
      <c r="S62" s="229"/>
      <c r="T62" s="229"/>
      <c r="U62" s="229"/>
    </row>
    <row r="63" spans="2:21" x14ac:dyDescent="0.25">
      <c r="B63" s="222"/>
      <c r="D63" s="224"/>
      <c r="F63" s="199">
        <f>IF($C$62&gt;0,ROUND(D44*$E$62,0),0)</f>
        <v>0</v>
      </c>
      <c r="G63" s="199">
        <f>IF(F63=0,0,J28)</f>
        <v>0</v>
      </c>
      <c r="H63" s="203"/>
      <c r="K63" s="222"/>
      <c r="L63" s="218"/>
      <c r="M63" s="218"/>
      <c r="N63" s="218"/>
      <c r="O63" s="218"/>
      <c r="P63" s="218"/>
      <c r="R63" s="229"/>
      <c r="S63" s="229"/>
      <c r="T63" s="229"/>
      <c r="U63" s="229"/>
    </row>
    <row r="64" spans="2:21" x14ac:dyDescent="0.25">
      <c r="B64" s="222"/>
      <c r="D64" s="224"/>
      <c r="F64" s="227"/>
      <c r="G64" s="227"/>
      <c r="H64" s="228"/>
      <c r="K64" s="222"/>
      <c r="L64" s="218"/>
      <c r="M64" s="218"/>
      <c r="N64" s="218"/>
      <c r="O64" s="218"/>
      <c r="P64" s="218"/>
      <c r="R64" s="229"/>
      <c r="S64" s="229"/>
      <c r="T64" s="229"/>
      <c r="U64" s="229"/>
    </row>
    <row r="65" spans="2:21" x14ac:dyDescent="0.25">
      <c r="B65" s="362" t="s">
        <v>836</v>
      </c>
      <c r="C65" s="371" t="s">
        <v>843</v>
      </c>
      <c r="D65" s="362" t="s">
        <v>844</v>
      </c>
      <c r="E65" s="371" t="s">
        <v>845</v>
      </c>
      <c r="F65" s="362" t="s">
        <v>846</v>
      </c>
      <c r="G65" s="362" t="s">
        <v>847</v>
      </c>
      <c r="H65" s="362" t="s">
        <v>848</v>
      </c>
      <c r="K65" s="222"/>
      <c r="L65" s="218"/>
      <c r="M65" s="218"/>
      <c r="N65" s="218"/>
      <c r="O65" s="218"/>
      <c r="P65" s="218"/>
      <c r="R65" s="229"/>
      <c r="S65" s="229"/>
      <c r="T65" s="229"/>
      <c r="U65" s="229"/>
    </row>
    <row r="66" spans="2:21" x14ac:dyDescent="0.25">
      <c r="B66" s="206" t="str">
        <f>B37</f>
        <v>55 Months to 66 Months</v>
      </c>
      <c r="C66" s="226">
        <f>C62-D62-F62-F63</f>
        <v>-0.15000000000000036</v>
      </c>
      <c r="D66" s="199">
        <f>ROUND(C66*$C$37,0)</f>
        <v>0</v>
      </c>
      <c r="E66" s="226">
        <f>C66-D66</f>
        <v>-0.15000000000000036</v>
      </c>
      <c r="F66" s="199">
        <f>IF($C$66&gt;0,ROUND(C45*$E$66,0),0)</f>
        <v>0</v>
      </c>
      <c r="G66" s="199">
        <f>IF(F66=0,0,L27)</f>
        <v>0</v>
      </c>
      <c r="H66" s="203"/>
      <c r="K66" s="222"/>
      <c r="L66" s="218"/>
      <c r="M66" s="218"/>
      <c r="N66" s="218"/>
      <c r="O66" s="218"/>
      <c r="P66" s="218"/>
      <c r="R66" s="229"/>
      <c r="S66" s="229"/>
      <c r="T66" s="229"/>
      <c r="U66" s="229"/>
    </row>
    <row r="67" spans="2:21" x14ac:dyDescent="0.25">
      <c r="D67" s="224"/>
      <c r="F67" s="199">
        <f>IF($C$66&gt;0,ROUND(D45*$E$66,0),0)</f>
        <v>0</v>
      </c>
      <c r="G67" s="199">
        <f>IF(F67=0,0,L28)</f>
        <v>0</v>
      </c>
      <c r="H67" s="203"/>
      <c r="L67" s="218"/>
      <c r="M67" s="218"/>
      <c r="N67" s="218"/>
      <c r="O67" s="218"/>
      <c r="P67" s="218"/>
      <c r="R67" s="229"/>
      <c r="S67" s="229"/>
      <c r="T67" s="229"/>
      <c r="U67" s="229"/>
    </row>
    <row r="68" spans="2:21" x14ac:dyDescent="0.25">
      <c r="E68" s="218"/>
    </row>
    <row r="69" spans="2:21" x14ac:dyDescent="0.25">
      <c r="B69" s="230" t="s">
        <v>849</v>
      </c>
    </row>
    <row r="70" spans="2:21" x14ac:dyDescent="0.25">
      <c r="B70" s="231"/>
    </row>
    <row r="71" spans="2:21" x14ac:dyDescent="0.25">
      <c r="B71" s="362" t="s">
        <v>836</v>
      </c>
      <c r="C71" s="362" t="s">
        <v>850</v>
      </c>
      <c r="D71" s="362" t="s">
        <v>851</v>
      </c>
      <c r="E71" s="362" t="s">
        <v>846</v>
      </c>
      <c r="F71" s="362" t="s">
        <v>644</v>
      </c>
      <c r="G71" s="362" t="s">
        <v>852</v>
      </c>
      <c r="H71" s="362" t="s">
        <v>853</v>
      </c>
      <c r="I71" s="362" t="s">
        <v>854</v>
      </c>
      <c r="J71" s="362" t="s">
        <v>855</v>
      </c>
      <c r="K71" s="362" t="s">
        <v>856</v>
      </c>
    </row>
    <row r="72" spans="2:21" x14ac:dyDescent="0.25">
      <c r="B72" s="206" t="str">
        <f>B50</f>
        <v>6 Months to 17 Months</v>
      </c>
      <c r="C72" s="211"/>
      <c r="D72" s="232"/>
      <c r="E72" s="199">
        <f>F50</f>
        <v>0</v>
      </c>
      <c r="F72" s="327">
        <f>D72*G50</f>
        <v>0</v>
      </c>
      <c r="G72" s="233">
        <f>IF(D72&lt;=0,0,C72*1/D72)</f>
        <v>0</v>
      </c>
      <c r="H72" s="216">
        <f>C72*G50</f>
        <v>0</v>
      </c>
      <c r="I72" s="216">
        <f>H72*F50</f>
        <v>0</v>
      </c>
      <c r="J72" s="226">
        <f>G50*F50</f>
        <v>0</v>
      </c>
      <c r="K72" s="226">
        <f>J72*D72</f>
        <v>0</v>
      </c>
    </row>
    <row r="73" spans="2:21" x14ac:dyDescent="0.25">
      <c r="C73" s="211"/>
      <c r="D73" s="232"/>
      <c r="E73" s="199">
        <f>F51</f>
        <v>0</v>
      </c>
      <c r="F73" s="327">
        <f>D73*G51</f>
        <v>0</v>
      </c>
      <c r="G73" s="233">
        <f>IF(D73&lt;=0,0,C73*1/D73)</f>
        <v>0</v>
      </c>
      <c r="H73" s="216">
        <f>C73*G51</f>
        <v>0</v>
      </c>
      <c r="I73" s="216">
        <f>H73*F51</f>
        <v>0</v>
      </c>
      <c r="J73" s="226">
        <f>G51*F51</f>
        <v>0</v>
      </c>
      <c r="K73" s="226">
        <f>J73*D73</f>
        <v>0</v>
      </c>
    </row>
    <row r="74" spans="2:21" x14ac:dyDescent="0.25">
      <c r="C74" s="234"/>
      <c r="D74" s="235"/>
      <c r="F74" s="340"/>
    </row>
    <row r="75" spans="2:21" x14ac:dyDescent="0.25">
      <c r="B75" s="206" t="str">
        <f>B54</f>
        <v>18 Months to 30 Months</v>
      </c>
      <c r="C75" s="211"/>
      <c r="D75" s="232"/>
      <c r="E75" s="199">
        <f>F54</f>
        <v>0</v>
      </c>
      <c r="F75" s="327">
        <f>D75*G54</f>
        <v>0</v>
      </c>
      <c r="G75" s="233">
        <f>IF(D75&lt;=0,0,C75*1/D75)</f>
        <v>0</v>
      </c>
      <c r="H75" s="216">
        <f>C75*G54</f>
        <v>0</v>
      </c>
      <c r="I75" s="216">
        <f>H75*F54</f>
        <v>0</v>
      </c>
      <c r="J75" s="226">
        <f>G54*F54</f>
        <v>0</v>
      </c>
      <c r="K75" s="226">
        <f>J75*D75</f>
        <v>0</v>
      </c>
    </row>
    <row r="76" spans="2:21" x14ac:dyDescent="0.25">
      <c r="C76" s="211"/>
      <c r="D76" s="232"/>
      <c r="E76" s="199">
        <f>F55</f>
        <v>0</v>
      </c>
      <c r="F76" s="327">
        <f>D76*G55</f>
        <v>0</v>
      </c>
      <c r="G76" s="233">
        <f>IF(D76&lt;=0,0,C76*1/D76)</f>
        <v>0</v>
      </c>
      <c r="H76" s="216">
        <f>C76*G55</f>
        <v>0</v>
      </c>
      <c r="I76" s="216">
        <f>H76*F55</f>
        <v>0</v>
      </c>
      <c r="J76" s="226">
        <f>G55*F55</f>
        <v>0</v>
      </c>
      <c r="K76" s="226">
        <f>J76*D76</f>
        <v>0</v>
      </c>
    </row>
    <row r="77" spans="2:21" x14ac:dyDescent="0.25">
      <c r="C77" s="224"/>
      <c r="D77" s="238"/>
      <c r="E77" s="224"/>
      <c r="F77" s="340"/>
    </row>
    <row r="78" spans="2:21" x14ac:dyDescent="0.25">
      <c r="B78" s="206" t="str">
        <f>B58</f>
        <v>31 Months to 42 Months</v>
      </c>
      <c r="C78" s="211">
        <v>1.6120000000000001</v>
      </c>
      <c r="D78" s="232">
        <v>0.52</v>
      </c>
      <c r="E78" s="199">
        <f>F58</f>
        <v>12</v>
      </c>
      <c r="F78" s="358">
        <f>D78*G58</f>
        <v>310.02400000000006</v>
      </c>
      <c r="G78" s="233">
        <f>IF(D78&lt;=0,0,C78*1/D78)</f>
        <v>3.1</v>
      </c>
      <c r="H78" s="216">
        <f>C78*G58</f>
        <v>961.07440000000008</v>
      </c>
      <c r="I78" s="216">
        <f>H78*F58</f>
        <v>11532.892800000001</v>
      </c>
      <c r="J78" s="226">
        <f>G58*F58</f>
        <v>7154.4000000000005</v>
      </c>
      <c r="K78" s="226">
        <f>J78*D78</f>
        <v>3720.2880000000005</v>
      </c>
    </row>
    <row r="79" spans="2:21" x14ac:dyDescent="0.25">
      <c r="C79" s="211"/>
      <c r="D79" s="232"/>
      <c r="E79" s="199">
        <f>F59</f>
        <v>0</v>
      </c>
      <c r="F79" s="327">
        <f>D79*G59</f>
        <v>0</v>
      </c>
      <c r="G79" s="233">
        <f>IF(D79&lt;=0,0,C79*1/D79)</f>
        <v>0</v>
      </c>
      <c r="H79" s="216">
        <f>C79*G59</f>
        <v>0</v>
      </c>
      <c r="I79" s="216">
        <f>H79*F59</f>
        <v>0</v>
      </c>
      <c r="J79" s="226">
        <f>G59*F59</f>
        <v>0</v>
      </c>
      <c r="K79" s="226">
        <f>J79*D79</f>
        <v>0</v>
      </c>
    </row>
    <row r="80" spans="2:21" x14ac:dyDescent="0.25">
      <c r="D80" s="241"/>
      <c r="F80" s="340"/>
    </row>
    <row r="81" spans="2:37" x14ac:dyDescent="0.25">
      <c r="B81" s="206" t="str">
        <f>B62</f>
        <v>43 Months to 54 Months</v>
      </c>
      <c r="C81" s="211">
        <v>0</v>
      </c>
      <c r="D81" s="232">
        <v>0</v>
      </c>
      <c r="E81" s="199">
        <f>F62</f>
        <v>0</v>
      </c>
      <c r="F81" s="327">
        <f>D81*G62</f>
        <v>0</v>
      </c>
      <c r="G81" s="233">
        <f>IF(D81&lt;=0,0,C81*1/D81)</f>
        <v>0</v>
      </c>
      <c r="H81" s="216">
        <f>C81*G62</f>
        <v>0</v>
      </c>
      <c r="I81" s="216">
        <f>H81*F62</f>
        <v>0</v>
      </c>
      <c r="J81" s="226">
        <f>G62*F62</f>
        <v>0</v>
      </c>
      <c r="K81" s="226">
        <f>J81*D81</f>
        <v>0</v>
      </c>
    </row>
    <row r="82" spans="2:37" x14ac:dyDescent="0.25">
      <c r="B82" s="222"/>
      <c r="C82" s="211">
        <v>0</v>
      </c>
      <c r="D82" s="232">
        <v>0</v>
      </c>
      <c r="E82" s="199">
        <f>F63</f>
        <v>0</v>
      </c>
      <c r="F82" s="327">
        <f>D82*G63</f>
        <v>0</v>
      </c>
      <c r="G82" s="233">
        <f>IF(D82&lt;=0,0,C82*1/D82)</f>
        <v>0</v>
      </c>
      <c r="H82" s="216">
        <f>C82*G63</f>
        <v>0</v>
      </c>
      <c r="I82" s="216">
        <f>H82*F63</f>
        <v>0</v>
      </c>
      <c r="J82" s="226">
        <f>G63*F63</f>
        <v>0</v>
      </c>
      <c r="K82" s="226">
        <f>J82*D82</f>
        <v>0</v>
      </c>
      <c r="R82" s="224"/>
      <c r="S82" s="224"/>
      <c r="T82" s="224"/>
      <c r="U82" s="224"/>
      <c r="V82" s="224"/>
      <c r="W82" s="224"/>
    </row>
    <row r="83" spans="2:37" x14ac:dyDescent="0.25">
      <c r="D83" s="241"/>
      <c r="F83" s="340"/>
      <c r="R83" s="224"/>
      <c r="S83" s="224"/>
      <c r="T83" s="224"/>
      <c r="U83" s="224"/>
      <c r="V83" s="224"/>
    </row>
    <row r="84" spans="2:37" x14ac:dyDescent="0.25">
      <c r="B84" s="206" t="str">
        <f>B66</f>
        <v>55 Months to 66 Months</v>
      </c>
      <c r="C84" s="211">
        <v>0</v>
      </c>
      <c r="D84" s="232">
        <v>0</v>
      </c>
      <c r="E84" s="199">
        <f>F66</f>
        <v>0</v>
      </c>
      <c r="F84" s="327">
        <f>D84*G66</f>
        <v>0</v>
      </c>
      <c r="G84" s="233">
        <f>IF(D84&lt;=0,0,C84*1/D84)</f>
        <v>0</v>
      </c>
      <c r="H84" s="216">
        <f>C84*G66</f>
        <v>0</v>
      </c>
      <c r="I84" s="216">
        <f>H84*F66</f>
        <v>0</v>
      </c>
      <c r="J84" s="226">
        <f>G66*F66</f>
        <v>0</v>
      </c>
      <c r="K84" s="226">
        <f>J84*D84</f>
        <v>0</v>
      </c>
      <c r="R84" s="224"/>
      <c r="S84" s="224"/>
      <c r="T84" s="224"/>
      <c r="U84" s="224"/>
      <c r="V84" s="224"/>
    </row>
    <row r="85" spans="2:37" x14ac:dyDescent="0.25">
      <c r="B85" s="224"/>
      <c r="C85" s="211">
        <v>0</v>
      </c>
      <c r="D85" s="232">
        <v>0</v>
      </c>
      <c r="E85" s="199">
        <f>F67</f>
        <v>0</v>
      </c>
      <c r="F85" s="327">
        <f>D85*G67</f>
        <v>0</v>
      </c>
      <c r="G85" s="233">
        <f>IF(D85&lt;=0,0,C85*1/D85)</f>
        <v>0</v>
      </c>
      <c r="H85" s="216">
        <f>C85*G67</f>
        <v>0</v>
      </c>
      <c r="I85" s="216">
        <f>H85*F67</f>
        <v>0</v>
      </c>
      <c r="J85" s="226">
        <f>G67*F67</f>
        <v>0</v>
      </c>
      <c r="K85" s="226">
        <f>J85*D85</f>
        <v>0</v>
      </c>
      <c r="R85" s="224"/>
      <c r="S85" s="224"/>
      <c r="T85" s="224"/>
      <c r="U85" s="224"/>
      <c r="V85" s="224"/>
    </row>
    <row r="86" spans="2:37" x14ac:dyDescent="0.25">
      <c r="G86" s="224"/>
      <c r="H86" s="245" t="s">
        <v>993</v>
      </c>
      <c r="I86" s="246">
        <f>SUM(I72:I85)</f>
        <v>11532.892800000001</v>
      </c>
      <c r="J86" s="247">
        <f>SUM(J72:J85)</f>
        <v>7154.4000000000005</v>
      </c>
      <c r="K86" s="247">
        <f>SUM(K72:K85)</f>
        <v>3720.2880000000005</v>
      </c>
      <c r="R86" s="224"/>
      <c r="S86" s="224"/>
      <c r="T86" s="224"/>
      <c r="U86" s="224"/>
      <c r="V86" s="224"/>
    </row>
    <row r="87" spans="2:37" x14ac:dyDescent="0.25">
      <c r="G87" s="248"/>
      <c r="I87" s="245" t="s">
        <v>860</v>
      </c>
      <c r="J87" s="247">
        <f>C13*C11</f>
        <v>2846.37</v>
      </c>
      <c r="K87" s="249">
        <f>J87*(K86/J86)</f>
        <v>1480.1124</v>
      </c>
      <c r="R87" s="224"/>
      <c r="S87" s="224"/>
      <c r="T87" s="224"/>
      <c r="U87" s="224"/>
      <c r="V87" s="224"/>
    </row>
    <row r="88" spans="2:37" x14ac:dyDescent="0.25">
      <c r="I88" s="245" t="s">
        <v>861</v>
      </c>
      <c r="J88" s="247">
        <f>J86-J87</f>
        <v>4308.0300000000007</v>
      </c>
      <c r="K88" s="247">
        <f>K86-K87</f>
        <v>2240.1756000000005</v>
      </c>
      <c r="R88" s="224"/>
      <c r="S88" s="224"/>
      <c r="T88" s="224"/>
      <c r="U88" s="224"/>
      <c r="V88" s="224"/>
    </row>
    <row r="89" spans="2:37" x14ac:dyDescent="0.25">
      <c r="B89" s="230" t="s">
        <v>862</v>
      </c>
      <c r="R89" s="224"/>
      <c r="S89" s="224"/>
      <c r="T89" s="224"/>
      <c r="U89" s="224"/>
      <c r="V89" s="224"/>
    </row>
    <row r="90" spans="2:37" x14ac:dyDescent="0.25">
      <c r="B90" s="231"/>
      <c r="M90" s="236" t="s">
        <v>857</v>
      </c>
      <c r="N90" s="237"/>
      <c r="R90" s="224"/>
      <c r="S90" s="224"/>
      <c r="T90" s="224"/>
      <c r="U90" s="224"/>
      <c r="V90" s="224"/>
      <c r="W90" s="224"/>
      <c r="AK90" s="224"/>
    </row>
    <row r="91" spans="2:37" x14ac:dyDescent="0.25">
      <c r="B91" s="362" t="s">
        <v>836</v>
      </c>
      <c r="C91" s="362" t="s">
        <v>843</v>
      </c>
      <c r="D91" s="362" t="s">
        <v>863</v>
      </c>
      <c r="E91" s="362" t="s">
        <v>864</v>
      </c>
      <c r="M91" s="215" t="s">
        <v>858</v>
      </c>
      <c r="N91" s="215"/>
      <c r="R91" s="224"/>
      <c r="S91" s="224"/>
      <c r="T91" s="224"/>
      <c r="U91" s="224"/>
      <c r="V91" s="224"/>
      <c r="W91" s="224"/>
      <c r="AK91" s="224"/>
    </row>
    <row r="92" spans="2:37" x14ac:dyDescent="0.25">
      <c r="B92" s="206" t="str">
        <f>B33</f>
        <v>6 Months to 17 Months</v>
      </c>
      <c r="C92" s="226">
        <f>C50</f>
        <v>11.85</v>
      </c>
      <c r="D92" s="250">
        <v>500</v>
      </c>
      <c r="E92" s="216">
        <f>C92*D92</f>
        <v>5925</v>
      </c>
      <c r="M92" s="239" t="s">
        <v>859</v>
      </c>
      <c r="R92" s="224"/>
      <c r="S92" s="224"/>
      <c r="T92" s="224"/>
      <c r="U92" s="224"/>
      <c r="V92" s="224"/>
      <c r="W92" s="224"/>
      <c r="AK92" s="224"/>
    </row>
    <row r="93" spans="2:37" x14ac:dyDescent="0.25">
      <c r="B93" s="206" t="str">
        <f>B34</f>
        <v>18 Months to 30 Months</v>
      </c>
      <c r="C93" s="226">
        <f>C54</f>
        <v>11.85</v>
      </c>
      <c r="D93" s="250"/>
      <c r="E93" s="216">
        <f>C93*D93</f>
        <v>0</v>
      </c>
      <c r="M93" s="240" t="s">
        <v>492</v>
      </c>
      <c r="N93" s="240" t="s">
        <v>493</v>
      </c>
      <c r="R93" s="224"/>
      <c r="S93" s="224"/>
      <c r="T93" s="224"/>
      <c r="U93" s="224"/>
      <c r="V93" s="224"/>
      <c r="W93" s="224"/>
      <c r="AE93" s="224"/>
      <c r="AF93" s="224"/>
      <c r="AG93" s="224"/>
      <c r="AH93" s="224"/>
      <c r="AI93" s="224"/>
      <c r="AJ93" s="224"/>
      <c r="AK93" s="224"/>
    </row>
    <row r="94" spans="2:37" x14ac:dyDescent="0.25">
      <c r="B94" s="206" t="str">
        <f>B35</f>
        <v>31 Months to 42 Months</v>
      </c>
      <c r="C94" s="226">
        <f>C58</f>
        <v>11.85</v>
      </c>
      <c r="D94" s="250"/>
      <c r="E94" s="216">
        <f>C94*D94</f>
        <v>0</v>
      </c>
      <c r="M94" s="242" t="s">
        <v>494</v>
      </c>
      <c r="N94" s="242" t="s">
        <v>495</v>
      </c>
      <c r="R94" s="224"/>
      <c r="S94" s="224"/>
      <c r="T94" s="224"/>
      <c r="U94" s="224"/>
      <c r="V94" s="224"/>
      <c r="W94" s="224"/>
      <c r="AE94" s="224"/>
      <c r="AF94" s="224"/>
      <c r="AG94" s="224"/>
      <c r="AH94" s="224"/>
      <c r="AI94" s="224"/>
      <c r="AJ94" s="224"/>
      <c r="AK94" s="224"/>
    </row>
    <row r="95" spans="2:37" x14ac:dyDescent="0.25">
      <c r="B95" s="206" t="str">
        <f>B36</f>
        <v>43 Months to 54 Months</v>
      </c>
      <c r="C95" s="226">
        <f>C62</f>
        <v>-0.15000000000000036</v>
      </c>
      <c r="D95" s="250">
        <v>0</v>
      </c>
      <c r="E95" s="216">
        <f>C95*D95</f>
        <v>0</v>
      </c>
      <c r="M95" s="243">
        <v>250</v>
      </c>
      <c r="N95" s="243">
        <v>38</v>
      </c>
      <c r="R95" s="224"/>
      <c r="S95" s="224"/>
      <c r="T95" s="224"/>
      <c r="U95" s="224"/>
      <c r="V95" s="224"/>
      <c r="W95" s="224"/>
      <c r="AE95" s="224"/>
      <c r="AF95" s="224"/>
      <c r="AG95" s="224"/>
      <c r="AH95" s="224"/>
      <c r="AI95" s="224"/>
      <c r="AJ95" s="224"/>
      <c r="AK95" s="224"/>
    </row>
    <row r="96" spans="2:37" x14ac:dyDescent="0.25">
      <c r="B96" s="206" t="str">
        <f>B37</f>
        <v>55 Months to 66 Months</v>
      </c>
      <c r="C96" s="251">
        <f>C66</f>
        <v>-0.15000000000000036</v>
      </c>
      <c r="D96" s="250">
        <v>0</v>
      </c>
      <c r="E96" s="252">
        <f>C96*D96</f>
        <v>0</v>
      </c>
      <c r="M96" s="244">
        <v>300</v>
      </c>
      <c r="N96" s="244">
        <v>34</v>
      </c>
      <c r="R96" s="224"/>
      <c r="S96" s="224"/>
      <c r="T96" s="224"/>
      <c r="U96" s="224"/>
      <c r="V96" s="224"/>
      <c r="W96" s="224"/>
      <c r="AE96" s="224"/>
      <c r="AF96" s="224"/>
      <c r="AG96" s="224"/>
      <c r="AH96" s="224"/>
      <c r="AI96" s="224"/>
      <c r="AJ96" s="224"/>
      <c r="AK96" s="224"/>
    </row>
    <row r="97" spans="2:40" x14ac:dyDescent="0.25">
      <c r="B97" s="253" t="s">
        <v>993</v>
      </c>
      <c r="C97" s="247">
        <f>SUM(C92:C96)</f>
        <v>35.25</v>
      </c>
      <c r="D97" s="246">
        <f>E97/C97</f>
        <v>168.08510638297872</v>
      </c>
      <c r="E97" s="246">
        <f>SUM(E92:E96)</f>
        <v>5925</v>
      </c>
      <c r="M97" s="244">
        <v>350</v>
      </c>
      <c r="N97" s="244">
        <v>30</v>
      </c>
      <c r="R97" s="224"/>
      <c r="S97" s="224"/>
      <c r="T97" s="224"/>
      <c r="U97" s="224"/>
      <c r="V97" s="224"/>
      <c r="W97" s="224"/>
      <c r="AE97" s="224"/>
      <c r="AF97" s="224"/>
      <c r="AG97" s="224"/>
      <c r="AH97" s="224"/>
      <c r="AI97" s="224"/>
      <c r="AJ97" s="224"/>
      <c r="AK97" s="224"/>
    </row>
    <row r="98" spans="2:40" x14ac:dyDescent="0.25">
      <c r="M98" s="244">
        <v>400</v>
      </c>
      <c r="N98" s="244">
        <v>28</v>
      </c>
      <c r="R98" s="224"/>
      <c r="S98" s="224"/>
      <c r="T98" s="224"/>
      <c r="U98" s="224"/>
      <c r="V98" s="224"/>
      <c r="W98" s="224"/>
      <c r="X98" s="224"/>
      <c r="AE98" s="224"/>
      <c r="AF98" s="224"/>
      <c r="AG98" s="224"/>
      <c r="AH98" s="224"/>
      <c r="AI98" s="224"/>
      <c r="AJ98" s="224"/>
      <c r="AK98" s="224"/>
    </row>
    <row r="99" spans="2:40" x14ac:dyDescent="0.25">
      <c r="B99" s="254" t="s">
        <v>865</v>
      </c>
      <c r="M99" s="244">
        <v>450</v>
      </c>
      <c r="N99" s="244">
        <v>26</v>
      </c>
      <c r="U99" s="224"/>
      <c r="V99" s="224"/>
      <c r="W99" s="224"/>
      <c r="X99" s="224"/>
      <c r="AE99" s="224"/>
      <c r="AF99" s="224"/>
      <c r="AG99" s="224"/>
      <c r="AH99" s="224"/>
      <c r="AI99" s="224"/>
      <c r="AJ99" s="224"/>
      <c r="AK99" s="224"/>
    </row>
    <row r="100" spans="2:40" x14ac:dyDescent="0.25">
      <c r="B100" s="255"/>
      <c r="M100" s="244">
        <v>500</v>
      </c>
      <c r="N100" s="244">
        <v>24</v>
      </c>
      <c r="U100" s="224"/>
      <c r="V100" s="224"/>
      <c r="W100" s="224"/>
      <c r="X100" s="224"/>
      <c r="AE100" s="224"/>
      <c r="AF100" s="224"/>
      <c r="AG100" s="224"/>
      <c r="AH100" s="224"/>
      <c r="AI100" s="224"/>
      <c r="AJ100" s="224"/>
      <c r="AK100" s="224"/>
    </row>
    <row r="101" spans="2:40" x14ac:dyDescent="0.25">
      <c r="B101" s="362" t="s">
        <v>836</v>
      </c>
      <c r="C101" s="371" t="s">
        <v>866</v>
      </c>
      <c r="D101" s="371" t="s">
        <v>867</v>
      </c>
      <c r="E101" s="362" t="s">
        <v>868</v>
      </c>
      <c r="F101" s="362" t="s">
        <v>869</v>
      </c>
      <c r="G101" s="362" t="s">
        <v>870</v>
      </c>
      <c r="H101" s="362" t="s">
        <v>993</v>
      </c>
      <c r="I101" s="362" t="s">
        <v>871</v>
      </c>
      <c r="M101" s="244">
        <v>550</v>
      </c>
      <c r="N101" s="244">
        <v>22</v>
      </c>
      <c r="U101" s="224"/>
      <c r="V101" s="224"/>
      <c r="W101" s="224"/>
      <c r="X101" s="224"/>
      <c r="AE101" s="224"/>
      <c r="AF101" s="224"/>
      <c r="AG101" s="224"/>
      <c r="AH101" s="224"/>
      <c r="AI101" s="224"/>
      <c r="AJ101" s="224"/>
      <c r="AK101" s="224"/>
    </row>
    <row r="102" spans="2:40" x14ac:dyDescent="0.25">
      <c r="B102" s="206" t="str">
        <f>B33</f>
        <v>6 Months to 17 Months</v>
      </c>
      <c r="C102" s="226">
        <f>C11</f>
        <v>11.85</v>
      </c>
      <c r="D102" s="226">
        <f>C13</f>
        <v>240.2</v>
      </c>
      <c r="E102" s="256">
        <v>189.5</v>
      </c>
      <c r="F102" s="257">
        <v>1.9</v>
      </c>
      <c r="G102" s="256">
        <v>36</v>
      </c>
      <c r="H102" s="216">
        <f>IF(C102&lt;=0,0,C102*E102*F102/G102)</f>
        <v>118.51645833333333</v>
      </c>
      <c r="I102" s="233">
        <f>IF(H102&lt;=0,0,H102/C102)</f>
        <v>10.00138888888889</v>
      </c>
      <c r="M102" s="244">
        <v>600</v>
      </c>
      <c r="N102" s="244">
        <v>20</v>
      </c>
      <c r="U102" s="224"/>
      <c r="V102" s="224"/>
      <c r="W102" s="224"/>
      <c r="X102" s="224"/>
      <c r="AE102" s="224"/>
      <c r="AF102" s="224"/>
      <c r="AG102" s="224"/>
      <c r="AH102" s="224"/>
      <c r="AI102" s="224"/>
      <c r="AJ102" s="224"/>
      <c r="AK102" s="224"/>
    </row>
    <row r="103" spans="2:40" x14ac:dyDescent="0.25">
      <c r="B103" s="208"/>
      <c r="C103" s="208"/>
      <c r="D103" s="208"/>
      <c r="E103" s="208"/>
      <c r="F103" s="208"/>
      <c r="G103" s="208"/>
      <c r="H103" s="208"/>
      <c r="M103" s="244">
        <v>650</v>
      </c>
      <c r="N103" s="244">
        <v>18</v>
      </c>
      <c r="U103" s="224"/>
      <c r="V103" s="224"/>
      <c r="W103" s="224"/>
      <c r="X103" s="224"/>
      <c r="AE103" s="224"/>
      <c r="AF103" s="224"/>
      <c r="AG103" s="224"/>
      <c r="AH103" s="224"/>
      <c r="AI103" s="224"/>
      <c r="AJ103" s="224"/>
      <c r="AK103" s="224"/>
    </row>
    <row r="104" spans="2:40" x14ac:dyDescent="0.25">
      <c r="B104" s="225" t="s">
        <v>872</v>
      </c>
      <c r="M104" s="224"/>
      <c r="N104" s="258"/>
      <c r="O104" s="258"/>
      <c r="P104" s="258"/>
      <c r="Q104" s="224"/>
      <c r="U104" s="224"/>
      <c r="V104" s="224"/>
      <c r="W104" s="224"/>
      <c r="X104" s="224"/>
      <c r="AE104" s="224"/>
      <c r="AF104" s="224"/>
      <c r="AG104" s="224"/>
      <c r="AH104" s="224"/>
      <c r="AI104" s="224"/>
      <c r="AJ104" s="224"/>
      <c r="AK104" s="224"/>
    </row>
    <row r="105" spans="2:40" x14ac:dyDescent="0.25">
      <c r="E105" s="224"/>
      <c r="M105" s="224"/>
      <c r="N105" s="224"/>
      <c r="O105" s="224"/>
      <c r="P105" s="224"/>
      <c r="Q105" s="224"/>
      <c r="U105" s="224"/>
      <c r="V105" s="224"/>
      <c r="W105" s="224"/>
      <c r="X105" s="224"/>
      <c r="AE105" s="224"/>
      <c r="AF105" s="224"/>
      <c r="AG105" s="224"/>
      <c r="AH105" s="224"/>
      <c r="AI105" s="224"/>
      <c r="AJ105" s="224"/>
      <c r="AK105" s="224"/>
    </row>
    <row r="106" spans="2:40" x14ac:dyDescent="0.25">
      <c r="B106" s="362" t="s">
        <v>836</v>
      </c>
      <c r="C106" s="362" t="s">
        <v>846</v>
      </c>
      <c r="D106" s="362" t="s">
        <v>873</v>
      </c>
      <c r="E106" s="362" t="s">
        <v>874</v>
      </c>
      <c r="F106" s="362" t="s">
        <v>875</v>
      </c>
      <c r="G106" s="362" t="s">
        <v>526</v>
      </c>
      <c r="H106" s="362" t="s">
        <v>876</v>
      </c>
      <c r="I106" s="362" t="s">
        <v>877</v>
      </c>
      <c r="J106" s="362" t="s">
        <v>878</v>
      </c>
      <c r="K106" s="362" t="s">
        <v>868</v>
      </c>
      <c r="L106" s="362" t="s">
        <v>869</v>
      </c>
      <c r="M106" s="362" t="s">
        <v>870</v>
      </c>
      <c r="N106" s="362" t="s">
        <v>993</v>
      </c>
      <c r="O106" s="362" t="s">
        <v>879</v>
      </c>
      <c r="U106" s="224"/>
      <c r="V106" s="224"/>
      <c r="W106" s="224"/>
      <c r="X106" s="224"/>
      <c r="AE106" s="224"/>
      <c r="AF106" s="224"/>
      <c r="AG106" s="224"/>
      <c r="AH106" s="224"/>
      <c r="AI106" s="224"/>
      <c r="AJ106" s="224"/>
      <c r="AK106" s="224"/>
    </row>
    <row r="107" spans="2:40" x14ac:dyDescent="0.25">
      <c r="B107" s="206" t="str">
        <f>B92</f>
        <v>6 Months to 17 Months</v>
      </c>
      <c r="C107" s="199">
        <f>F50</f>
        <v>0</v>
      </c>
      <c r="D107" s="259"/>
      <c r="E107" s="216">
        <f>D107*I72</f>
        <v>0</v>
      </c>
      <c r="F107" s="260"/>
      <c r="G107" s="260"/>
      <c r="H107" s="260"/>
      <c r="I107" s="216">
        <f>(F107+G107+H107)*C107</f>
        <v>0</v>
      </c>
      <c r="J107" s="226">
        <f>G50</f>
        <v>0</v>
      </c>
      <c r="K107" s="256"/>
      <c r="L107" s="257"/>
      <c r="M107" s="256"/>
      <c r="N107" s="216">
        <f>IF(M107=0,0,IF(C107&lt;=0,0,C107*K107*L107/M107))</f>
        <v>0</v>
      </c>
      <c r="O107" s="233">
        <f>IF(N107&lt;=0,0,N107/C107)</f>
        <v>0</v>
      </c>
      <c r="U107" s="224"/>
      <c r="V107" s="224"/>
      <c r="W107" s="224"/>
      <c r="X107" s="224"/>
      <c r="AE107" s="224"/>
      <c r="AF107" s="224"/>
      <c r="AG107" s="224"/>
      <c r="AH107" s="224"/>
      <c r="AI107" s="224"/>
      <c r="AJ107" s="224"/>
      <c r="AK107" s="224"/>
    </row>
    <row r="108" spans="2:40" x14ac:dyDescent="0.25">
      <c r="C108" s="199">
        <f>F51</f>
        <v>0</v>
      </c>
      <c r="D108" s="259"/>
      <c r="E108" s="216">
        <f>D108*I73</f>
        <v>0</v>
      </c>
      <c r="F108" s="260"/>
      <c r="G108" s="260"/>
      <c r="H108" s="260"/>
      <c r="I108" s="216">
        <f>(F108+G108+H108)*C108</f>
        <v>0</v>
      </c>
      <c r="J108" s="226">
        <f>G51</f>
        <v>0</v>
      </c>
      <c r="K108" s="256"/>
      <c r="L108" s="257"/>
      <c r="M108" s="256"/>
      <c r="N108" s="216">
        <f>IF(M108=0,0,IF(C108&lt;=0,0,C108*K108*L108/M108))</f>
        <v>0</v>
      </c>
      <c r="O108" s="233">
        <f>IF(N108&lt;=0,0,N108/C108)</f>
        <v>0</v>
      </c>
      <c r="U108" s="224"/>
      <c r="V108" s="224"/>
      <c r="W108" s="224"/>
      <c r="X108" s="224"/>
      <c r="AE108" s="224"/>
      <c r="AF108" s="224"/>
      <c r="AG108" s="224"/>
      <c r="AH108" s="224"/>
      <c r="AI108" s="224"/>
      <c r="AJ108" s="224"/>
      <c r="AK108" s="224"/>
    </row>
    <row r="109" spans="2:40" x14ac:dyDescent="0.25">
      <c r="E109" s="224"/>
      <c r="F109" s="224"/>
      <c r="G109" s="224"/>
      <c r="I109" s="224"/>
      <c r="N109" s="224"/>
      <c r="O109" s="224"/>
      <c r="U109" s="224"/>
      <c r="V109" s="224"/>
      <c r="W109" s="224"/>
      <c r="X109" s="224"/>
      <c r="AE109" s="224"/>
      <c r="AF109" s="224"/>
      <c r="AG109" s="224"/>
      <c r="AH109" s="224"/>
      <c r="AI109" s="224"/>
      <c r="AJ109" s="224"/>
      <c r="AK109" s="224"/>
    </row>
    <row r="110" spans="2:40" x14ac:dyDescent="0.25">
      <c r="B110" s="206" t="str">
        <f>B93</f>
        <v>18 Months to 30 Months</v>
      </c>
      <c r="C110" s="199">
        <f>F54</f>
        <v>0</v>
      </c>
      <c r="D110" s="259"/>
      <c r="E110" s="216">
        <f>D110*I75</f>
        <v>0</v>
      </c>
      <c r="F110" s="260"/>
      <c r="G110" s="260"/>
      <c r="H110" s="260"/>
      <c r="I110" s="216">
        <f>(F110+G110+H110)*C110</f>
        <v>0</v>
      </c>
      <c r="J110" s="226">
        <f>G54</f>
        <v>0</v>
      </c>
      <c r="K110" s="256"/>
      <c r="L110" s="257"/>
      <c r="M110" s="256"/>
      <c r="N110" s="216">
        <f>IF(M110=0,0,IF(C110&lt;=0,0,C110*K110*L110/M110))</f>
        <v>0</v>
      </c>
      <c r="O110" s="233">
        <f>IF(N110&lt;=0,0,N110/C110)</f>
        <v>0</v>
      </c>
      <c r="U110" s="224"/>
      <c r="V110" s="224"/>
      <c r="W110" s="224"/>
      <c r="X110" s="224"/>
      <c r="AE110" s="224"/>
      <c r="AF110" s="224"/>
      <c r="AG110" s="224"/>
      <c r="AH110" s="224"/>
      <c r="AI110" s="224"/>
      <c r="AJ110" s="224"/>
      <c r="AK110" s="224"/>
    </row>
    <row r="111" spans="2:40" x14ac:dyDescent="0.25">
      <c r="C111" s="199">
        <f>F55</f>
        <v>0</v>
      </c>
      <c r="D111" s="259"/>
      <c r="E111" s="216">
        <f>D111*I76</f>
        <v>0</v>
      </c>
      <c r="F111" s="260"/>
      <c r="G111" s="260"/>
      <c r="H111" s="260"/>
      <c r="I111" s="216">
        <f>(F111+G111+H111)*C111</f>
        <v>0</v>
      </c>
      <c r="J111" s="226">
        <f>G55</f>
        <v>0</v>
      </c>
      <c r="K111" s="256"/>
      <c r="L111" s="257"/>
      <c r="M111" s="256"/>
      <c r="N111" s="216">
        <f>IF(M111=0,0,IF(C111&lt;=0,0,C111*K111*L111/M111))</f>
        <v>0</v>
      </c>
      <c r="O111" s="233">
        <f>IF(N111&lt;=0,0,N111/C111)</f>
        <v>0</v>
      </c>
      <c r="U111" s="224"/>
      <c r="V111" s="224"/>
      <c r="W111" s="224"/>
      <c r="X111" s="224"/>
      <c r="AE111" s="224"/>
      <c r="AF111" s="224"/>
      <c r="AG111" s="224"/>
      <c r="AH111" s="224"/>
      <c r="AI111" s="224"/>
      <c r="AJ111" s="224"/>
      <c r="AK111" s="224"/>
    </row>
    <row r="112" spans="2:40" x14ac:dyDescent="0.25">
      <c r="C112" s="224"/>
      <c r="D112" s="224"/>
      <c r="E112" s="224"/>
      <c r="F112" s="224"/>
      <c r="G112" s="224"/>
      <c r="I112" s="224"/>
      <c r="L112" s="224"/>
      <c r="M112" s="224"/>
      <c r="N112" s="224"/>
      <c r="O112" s="224"/>
      <c r="U112" s="224"/>
      <c r="V112" s="224"/>
      <c r="W112" s="224"/>
      <c r="X112" s="224"/>
      <c r="Y112" s="224"/>
      <c r="AA112" s="224"/>
      <c r="AB112" s="224"/>
      <c r="AC112" s="224"/>
      <c r="AD112" s="224"/>
      <c r="AE112" s="224"/>
      <c r="AF112" s="224"/>
      <c r="AG112" s="224"/>
      <c r="AH112" s="224"/>
      <c r="AI112" s="224"/>
      <c r="AJ112" s="224"/>
      <c r="AK112" s="224"/>
      <c r="AL112" s="224"/>
      <c r="AM112" s="224"/>
      <c r="AN112" s="224"/>
    </row>
    <row r="113" spans="2:39" x14ac:dyDescent="0.25">
      <c r="B113" s="206" t="str">
        <f>B94</f>
        <v>31 Months to 42 Months</v>
      </c>
      <c r="C113" s="199">
        <f>F58</f>
        <v>12</v>
      </c>
      <c r="D113" s="259"/>
      <c r="E113" s="216">
        <f>D113*I78</f>
        <v>0</v>
      </c>
      <c r="F113" s="260">
        <v>5</v>
      </c>
      <c r="G113" s="260"/>
      <c r="H113" s="260"/>
      <c r="I113" s="216">
        <f>(F113+G113+H113)*C113</f>
        <v>60</v>
      </c>
      <c r="J113" s="226">
        <f>G58</f>
        <v>596.20000000000005</v>
      </c>
      <c r="K113" s="256">
        <v>421</v>
      </c>
      <c r="L113" s="257">
        <v>1.9</v>
      </c>
      <c r="M113" s="256">
        <v>20</v>
      </c>
      <c r="N113" s="216">
        <f>IF(M113=0,0,IF(C113&lt;=0,0,C113*K113*L113/M113))</f>
        <v>479.93999999999994</v>
      </c>
      <c r="O113" s="233">
        <f>IF(N113&lt;=0,0,N113/C113)</f>
        <v>39.994999999999997</v>
      </c>
      <c r="U113" s="224"/>
      <c r="V113" s="224"/>
      <c r="W113" s="224"/>
      <c r="X113" s="224"/>
      <c r="Y113" s="224"/>
      <c r="Z113" s="224"/>
      <c r="AA113" s="224"/>
      <c r="AB113" s="224"/>
      <c r="AC113" s="224"/>
      <c r="AD113" s="224"/>
      <c r="AE113" s="224"/>
      <c r="AF113" s="224"/>
      <c r="AG113" s="224"/>
      <c r="AH113" s="224"/>
      <c r="AI113" s="224"/>
      <c r="AJ113" s="224"/>
      <c r="AK113" s="224"/>
      <c r="AL113" s="224"/>
      <c r="AM113" s="224"/>
    </row>
    <row r="114" spans="2:39" x14ac:dyDescent="0.25">
      <c r="C114" s="199">
        <f>F59</f>
        <v>0</v>
      </c>
      <c r="D114" s="259"/>
      <c r="E114" s="216">
        <f>D114*I79</f>
        <v>0</v>
      </c>
      <c r="F114" s="260"/>
      <c r="G114" s="260"/>
      <c r="H114" s="260"/>
      <c r="I114" s="216">
        <f>(F114+G114+H114)*C114</f>
        <v>0</v>
      </c>
      <c r="J114" s="226">
        <f>G59</f>
        <v>0</v>
      </c>
      <c r="K114" s="256"/>
      <c r="L114" s="257"/>
      <c r="M114" s="256"/>
      <c r="N114" s="216">
        <f>IF(M114=0,0,IF(C114&lt;=0,0,C114*K114*L114/M114))</f>
        <v>0</v>
      </c>
      <c r="O114" s="233">
        <f>IF(N114&lt;=0,0,N114/C114)</f>
        <v>0</v>
      </c>
      <c r="U114" s="261"/>
      <c r="V114" s="261"/>
      <c r="W114" s="261"/>
      <c r="X114" s="261"/>
      <c r="Y114" s="261"/>
      <c r="Z114" s="224"/>
      <c r="AA114" s="224"/>
      <c r="AB114" s="224"/>
      <c r="AC114" s="224"/>
      <c r="AD114" s="224"/>
      <c r="AE114" s="224"/>
      <c r="AF114" s="224"/>
      <c r="AG114" s="224"/>
      <c r="AH114" s="224"/>
      <c r="AI114" s="224"/>
      <c r="AJ114" s="224"/>
      <c r="AK114" s="224"/>
      <c r="AL114" s="224"/>
    </row>
    <row r="115" spans="2:39" x14ac:dyDescent="0.25">
      <c r="D115" s="224"/>
      <c r="E115" s="224"/>
      <c r="F115" s="224"/>
      <c r="G115" s="224"/>
      <c r="I115" s="224"/>
      <c r="L115" s="224"/>
      <c r="M115" s="224"/>
      <c r="N115" s="224"/>
      <c r="O115" s="224"/>
      <c r="U115" s="261"/>
      <c r="V115" s="261"/>
      <c r="W115" s="261"/>
      <c r="X115" s="261"/>
      <c r="Y115" s="261"/>
      <c r="Z115" s="224"/>
      <c r="AA115" s="224"/>
      <c r="AB115" s="224"/>
      <c r="AC115" s="224"/>
      <c r="AD115" s="224"/>
      <c r="AE115" s="224"/>
      <c r="AF115" s="224"/>
      <c r="AG115" s="224"/>
      <c r="AH115" s="224"/>
      <c r="AI115" s="224"/>
      <c r="AJ115" s="224"/>
      <c r="AK115" s="224"/>
      <c r="AL115" s="224"/>
    </row>
    <row r="116" spans="2:39" x14ac:dyDescent="0.25">
      <c r="B116" s="206" t="str">
        <f>B95</f>
        <v>43 Months to 54 Months</v>
      </c>
      <c r="C116" s="199">
        <f>F62</f>
        <v>0</v>
      </c>
      <c r="D116" s="259"/>
      <c r="E116" s="216">
        <f>D116*I81</f>
        <v>0</v>
      </c>
      <c r="F116" s="260"/>
      <c r="G116" s="260"/>
      <c r="H116" s="260"/>
      <c r="I116" s="216">
        <f>(F116+G116+H116)*C116</f>
        <v>0</v>
      </c>
      <c r="J116" s="226">
        <f>G62</f>
        <v>0</v>
      </c>
      <c r="K116" s="256"/>
      <c r="L116" s="257"/>
      <c r="M116" s="256"/>
      <c r="N116" s="216">
        <f>IF(M116=0,0,IF(C116&lt;=0,0,C116*K116*L116/M116))</f>
        <v>0</v>
      </c>
      <c r="O116" s="233">
        <f>IF(N116&lt;=0,0,N116/C116)</f>
        <v>0</v>
      </c>
      <c r="U116" s="261"/>
      <c r="V116" s="261"/>
      <c r="W116" s="261"/>
      <c r="X116" s="261"/>
      <c r="Y116" s="261"/>
      <c r="Z116" s="224"/>
      <c r="AA116" s="224"/>
      <c r="AB116" s="224"/>
      <c r="AC116" s="224"/>
      <c r="AD116" s="224"/>
      <c r="AE116" s="224"/>
      <c r="AF116" s="224"/>
      <c r="AG116" s="224"/>
      <c r="AH116" s="224"/>
      <c r="AI116" s="224"/>
      <c r="AJ116" s="224"/>
      <c r="AK116" s="224"/>
      <c r="AL116" s="224"/>
    </row>
    <row r="117" spans="2:39" x14ac:dyDescent="0.25">
      <c r="B117" s="222"/>
      <c r="C117" s="199">
        <f>F63</f>
        <v>0</v>
      </c>
      <c r="D117" s="259"/>
      <c r="E117" s="216">
        <f>D117*I82</f>
        <v>0</v>
      </c>
      <c r="F117" s="260"/>
      <c r="G117" s="260"/>
      <c r="H117" s="260"/>
      <c r="I117" s="216">
        <f>(F117+G117+H117)*C117</f>
        <v>0</v>
      </c>
      <c r="J117" s="226">
        <f>G63</f>
        <v>0</v>
      </c>
      <c r="K117" s="256"/>
      <c r="L117" s="257"/>
      <c r="M117" s="256"/>
      <c r="N117" s="216">
        <f>IF(M117=0,0,IF(C117&lt;=0,0,C117*K117*L117/M117))</f>
        <v>0</v>
      </c>
      <c r="O117" s="233">
        <f>IF(N117&lt;=0,0,N117/C117)</f>
        <v>0</v>
      </c>
      <c r="R117" s="224"/>
      <c r="S117" s="224"/>
      <c r="U117" s="261"/>
      <c r="V117" s="261"/>
      <c r="W117" s="261"/>
      <c r="X117" s="261"/>
      <c r="Y117" s="261"/>
      <c r="Z117" s="224"/>
      <c r="AA117" s="224"/>
      <c r="AB117" s="224"/>
      <c r="AC117" s="224"/>
      <c r="AD117" s="224"/>
      <c r="AE117" s="224"/>
      <c r="AF117" s="224"/>
      <c r="AG117" s="224"/>
      <c r="AH117" s="224"/>
      <c r="AI117" s="224"/>
      <c r="AJ117" s="224"/>
      <c r="AK117" s="224"/>
      <c r="AL117" s="224"/>
    </row>
    <row r="118" spans="2:39" x14ac:dyDescent="0.25">
      <c r="D118" s="224"/>
      <c r="F118" s="224"/>
      <c r="G118" s="224"/>
      <c r="H118" s="224"/>
      <c r="K118" s="224"/>
      <c r="L118" s="224"/>
      <c r="M118" s="224"/>
      <c r="N118" s="224"/>
      <c r="O118" s="224"/>
      <c r="R118" s="224"/>
      <c r="S118" s="224"/>
      <c r="T118" s="224"/>
      <c r="U118" s="261"/>
      <c r="V118" s="261"/>
      <c r="W118" s="261"/>
      <c r="X118" s="261"/>
      <c r="Y118" s="261"/>
      <c r="Z118" s="224"/>
      <c r="AA118" s="224"/>
      <c r="AB118" s="224"/>
      <c r="AC118" s="224"/>
      <c r="AD118" s="224"/>
      <c r="AE118" s="224"/>
      <c r="AF118" s="224"/>
      <c r="AG118" s="224"/>
      <c r="AH118" s="224"/>
      <c r="AI118" s="224"/>
      <c r="AJ118" s="224"/>
      <c r="AK118" s="224"/>
      <c r="AL118" s="224"/>
    </row>
    <row r="119" spans="2:39" x14ac:dyDescent="0.25">
      <c r="B119" s="206" t="str">
        <f>B96</f>
        <v>55 Months to 66 Months</v>
      </c>
      <c r="C119" s="199">
        <f>F66</f>
        <v>0</v>
      </c>
      <c r="D119" s="259"/>
      <c r="E119" s="216">
        <f>D119*I84</f>
        <v>0</v>
      </c>
      <c r="F119" s="260"/>
      <c r="G119" s="260"/>
      <c r="H119" s="260"/>
      <c r="I119" s="216">
        <f>(F119+G119+H119)*C119</f>
        <v>0</v>
      </c>
      <c r="J119" s="226">
        <f>G66</f>
        <v>0</v>
      </c>
      <c r="K119" s="256"/>
      <c r="L119" s="257"/>
      <c r="M119" s="256"/>
      <c r="N119" s="216">
        <f>IF(M119=0,0,IF(C119&lt;=0,0,C119*K119*L119/M119))</f>
        <v>0</v>
      </c>
      <c r="O119" s="233">
        <f>IF(N119&lt;=0,0,N119/C119)</f>
        <v>0</v>
      </c>
      <c r="R119" s="224"/>
      <c r="S119" s="224"/>
      <c r="T119" s="224"/>
      <c r="U119" s="261"/>
      <c r="V119" s="261"/>
      <c r="W119" s="261"/>
      <c r="X119" s="261"/>
      <c r="Y119" s="261"/>
      <c r="Z119" s="224"/>
      <c r="AA119" s="224"/>
      <c r="AB119" s="224"/>
      <c r="AC119" s="224"/>
      <c r="AD119" s="224"/>
      <c r="AE119" s="224"/>
      <c r="AF119" s="224"/>
      <c r="AG119" s="224"/>
      <c r="AH119" s="224"/>
      <c r="AI119" s="224"/>
      <c r="AJ119" s="224"/>
      <c r="AK119" s="224"/>
      <c r="AL119" s="224"/>
    </row>
    <row r="120" spans="2:39" x14ac:dyDescent="0.25">
      <c r="B120" s="224"/>
      <c r="C120" s="199">
        <f>F67</f>
        <v>0</v>
      </c>
      <c r="D120" s="259"/>
      <c r="E120" s="216">
        <f>D120*I85</f>
        <v>0</v>
      </c>
      <c r="F120" s="260"/>
      <c r="G120" s="260"/>
      <c r="H120" s="260"/>
      <c r="I120" s="216">
        <f>(F120+G120+H120)*C120</f>
        <v>0</v>
      </c>
      <c r="J120" s="226">
        <f>G67</f>
        <v>0</v>
      </c>
      <c r="K120" s="256"/>
      <c r="L120" s="257"/>
      <c r="M120" s="256"/>
      <c r="N120" s="216">
        <f>IF(M120=0,0,IF(C120&lt;=0,0,C120*K120*L120/M120))</f>
        <v>0</v>
      </c>
      <c r="O120" s="233">
        <f>IF(N120&lt;=0,0,N120/C120)</f>
        <v>0</v>
      </c>
      <c r="R120" s="224"/>
      <c r="S120" s="224"/>
      <c r="T120" s="224"/>
      <c r="U120" s="261"/>
      <c r="V120" s="261"/>
      <c r="W120" s="261"/>
      <c r="X120" s="261"/>
      <c r="Y120" s="261"/>
      <c r="Z120" s="224"/>
      <c r="AA120" s="224"/>
      <c r="AB120" s="224"/>
      <c r="AC120" s="224"/>
      <c r="AD120" s="224"/>
      <c r="AE120" s="224"/>
      <c r="AF120" s="224"/>
      <c r="AG120" s="224"/>
      <c r="AH120" s="224"/>
      <c r="AI120" s="224"/>
      <c r="AJ120" s="224"/>
      <c r="AK120" s="224"/>
      <c r="AL120" s="224"/>
    </row>
    <row r="121" spans="2:39" x14ac:dyDescent="0.25">
      <c r="B121" s="224"/>
      <c r="C121" s="224"/>
      <c r="D121" s="224"/>
      <c r="E121" s="246">
        <f>SUM(E107:E120)</f>
        <v>0</v>
      </c>
      <c r="F121" s="224"/>
      <c r="G121" s="224"/>
      <c r="H121" s="224"/>
      <c r="I121" s="246">
        <f>SUM(I107:I120)</f>
        <v>60</v>
      </c>
      <c r="K121" s="224"/>
      <c r="L121" s="224"/>
      <c r="M121" s="245" t="s">
        <v>880</v>
      </c>
      <c r="N121" s="246">
        <f>SUM(N107:N120)</f>
        <v>479.93999999999994</v>
      </c>
      <c r="O121" s="224"/>
      <c r="R121" s="224"/>
      <c r="S121" s="224"/>
      <c r="T121" s="224"/>
      <c r="U121" s="261"/>
      <c r="V121" s="261"/>
      <c r="W121" s="261"/>
      <c r="X121" s="261"/>
      <c r="Y121" s="261"/>
      <c r="Z121" s="224"/>
      <c r="AA121" s="224"/>
      <c r="AB121" s="224"/>
      <c r="AC121" s="224"/>
      <c r="AD121" s="224"/>
      <c r="AE121" s="224"/>
      <c r="AF121" s="224"/>
      <c r="AG121" s="224"/>
      <c r="AH121" s="224"/>
      <c r="AI121" s="224"/>
      <c r="AJ121" s="224"/>
      <c r="AK121" s="224"/>
      <c r="AL121" s="224"/>
    </row>
    <row r="122" spans="2:39" x14ac:dyDescent="0.25">
      <c r="B122" s="230" t="s">
        <v>881</v>
      </c>
      <c r="R122" s="224"/>
      <c r="S122" s="224"/>
      <c r="T122" s="224"/>
      <c r="U122" s="261"/>
      <c r="V122" s="261"/>
      <c r="W122" s="261"/>
      <c r="X122" s="261"/>
      <c r="Y122" s="261"/>
      <c r="Z122" s="224"/>
      <c r="AA122" s="224"/>
      <c r="AB122" s="224"/>
      <c r="AC122" s="224"/>
      <c r="AD122" s="224"/>
      <c r="AE122" s="224"/>
      <c r="AF122" s="224"/>
      <c r="AG122" s="224"/>
      <c r="AH122" s="224"/>
      <c r="AI122" s="224"/>
      <c r="AJ122" s="224"/>
      <c r="AK122" s="224"/>
      <c r="AL122" s="224"/>
    </row>
    <row r="123" spans="2:39" x14ac:dyDescent="0.25">
      <c r="O123" s="224"/>
      <c r="R123" s="224"/>
      <c r="S123" s="224"/>
      <c r="T123" s="224"/>
      <c r="U123" s="261"/>
      <c r="V123" s="261"/>
      <c r="W123" s="261"/>
      <c r="X123" s="261"/>
      <c r="Y123" s="261"/>
      <c r="Z123" s="224"/>
      <c r="AA123" s="224"/>
      <c r="AB123" s="224"/>
      <c r="AC123" s="224"/>
      <c r="AD123" s="224"/>
      <c r="AE123" s="224"/>
      <c r="AF123" s="224"/>
      <c r="AG123" s="224"/>
      <c r="AH123" s="224"/>
      <c r="AI123" s="224"/>
      <c r="AJ123" s="224"/>
      <c r="AK123" s="224"/>
      <c r="AL123" s="224"/>
    </row>
    <row r="124" spans="2:39" x14ac:dyDescent="0.25">
      <c r="B124" s="362" t="s">
        <v>836</v>
      </c>
      <c r="C124" s="371" t="s">
        <v>882</v>
      </c>
      <c r="D124" s="362" t="s">
        <v>883</v>
      </c>
      <c r="E124" s="362" t="s">
        <v>884</v>
      </c>
      <c r="F124" s="362" t="s">
        <v>885</v>
      </c>
      <c r="G124" s="362" t="s">
        <v>886</v>
      </c>
      <c r="H124" s="362" t="s">
        <v>887</v>
      </c>
      <c r="I124" s="362" t="s">
        <v>888</v>
      </c>
      <c r="J124" s="362" t="s">
        <v>889</v>
      </c>
      <c r="K124" s="362" t="s">
        <v>993</v>
      </c>
      <c r="O124" s="224"/>
      <c r="P124" s="224"/>
      <c r="Q124" s="224"/>
      <c r="R124" s="224"/>
      <c r="S124" s="224"/>
      <c r="T124" s="224"/>
      <c r="U124" s="261"/>
      <c r="V124" s="261"/>
      <c r="W124" s="261"/>
      <c r="X124" s="261"/>
      <c r="Y124" s="261"/>
      <c r="Z124" s="224"/>
      <c r="AA124" s="224"/>
      <c r="AB124" s="224"/>
      <c r="AC124" s="224"/>
      <c r="AD124" s="224"/>
      <c r="AE124" s="224"/>
      <c r="AF124" s="224"/>
      <c r="AG124" s="224"/>
      <c r="AH124" s="224"/>
      <c r="AI124" s="224"/>
      <c r="AJ124" s="224"/>
      <c r="AK124" s="224"/>
      <c r="AL124" s="224"/>
    </row>
    <row r="125" spans="2:39" x14ac:dyDescent="0.25">
      <c r="B125" s="206" t="str">
        <f>B92</f>
        <v>6 Months to 17 Months</v>
      </c>
      <c r="C125" s="226">
        <f>C50</f>
        <v>11.85</v>
      </c>
      <c r="D125" s="262"/>
      <c r="E125" s="262"/>
      <c r="F125" s="262"/>
      <c r="G125" s="262">
        <v>0.38</v>
      </c>
      <c r="H125" s="262"/>
      <c r="I125" s="262"/>
      <c r="J125" s="262"/>
      <c r="K125" s="216">
        <f>SUM(D125:J125)*C125</f>
        <v>4.5030000000000001</v>
      </c>
      <c r="O125" s="224"/>
      <c r="P125" s="224"/>
      <c r="Q125" s="224"/>
      <c r="R125" s="224"/>
      <c r="S125" s="224"/>
      <c r="T125" s="224"/>
      <c r="U125" s="261"/>
      <c r="V125" s="261"/>
      <c r="W125" s="261"/>
      <c r="X125" s="261"/>
      <c r="Y125" s="261"/>
      <c r="Z125" s="224"/>
      <c r="AA125" s="224"/>
      <c r="AB125" s="224"/>
      <c r="AC125" s="224"/>
      <c r="AD125" s="224"/>
      <c r="AE125" s="224"/>
      <c r="AF125" s="224"/>
      <c r="AG125" s="224"/>
      <c r="AH125" s="224"/>
      <c r="AI125" s="224"/>
      <c r="AJ125" s="224"/>
      <c r="AK125" s="224"/>
      <c r="AL125" s="224"/>
    </row>
    <row r="126" spans="2:39" x14ac:dyDescent="0.25">
      <c r="B126" s="206" t="str">
        <f>B93</f>
        <v>18 Months to 30 Months</v>
      </c>
      <c r="C126" s="226">
        <f>C54</f>
        <v>11.85</v>
      </c>
      <c r="D126" s="262"/>
      <c r="E126" s="262"/>
      <c r="F126" s="262"/>
      <c r="G126" s="262"/>
      <c r="H126" s="262"/>
      <c r="I126" s="262"/>
      <c r="J126" s="262"/>
      <c r="K126" s="216">
        <f>SUM(D126:J126)*C126</f>
        <v>0</v>
      </c>
      <c r="O126" s="224"/>
      <c r="Q126" s="224"/>
      <c r="R126" s="224"/>
      <c r="S126" s="224"/>
      <c r="T126" s="224"/>
      <c r="U126" s="261"/>
      <c r="V126" s="261"/>
      <c r="W126" s="261"/>
      <c r="X126" s="261"/>
      <c r="Y126" s="261"/>
      <c r="Z126" s="224"/>
      <c r="AA126" s="224"/>
      <c r="AB126" s="224"/>
      <c r="AC126" s="224"/>
      <c r="AD126" s="224"/>
      <c r="AE126" s="224"/>
      <c r="AF126" s="224"/>
      <c r="AG126" s="224"/>
      <c r="AH126" s="224"/>
      <c r="AI126" s="224"/>
      <c r="AJ126" s="224"/>
      <c r="AK126" s="224"/>
      <c r="AL126" s="224"/>
    </row>
    <row r="127" spans="2:39" x14ac:dyDescent="0.25">
      <c r="B127" s="206" t="str">
        <f>B94</f>
        <v>31 Months to 42 Months</v>
      </c>
      <c r="C127" s="226">
        <f>C58</f>
        <v>11.85</v>
      </c>
      <c r="D127" s="262"/>
      <c r="E127" s="262"/>
      <c r="F127" s="262"/>
      <c r="G127" s="262"/>
      <c r="H127" s="262"/>
      <c r="I127" s="262"/>
      <c r="J127" s="262"/>
      <c r="K127" s="216">
        <f>SUM(D127:J127)*C127</f>
        <v>0</v>
      </c>
      <c r="O127" s="224"/>
      <c r="P127" s="224"/>
      <c r="Q127" s="224"/>
      <c r="R127" s="224"/>
      <c r="S127" s="224"/>
      <c r="T127" s="224"/>
      <c r="U127" s="261"/>
      <c r="V127" s="261"/>
      <c r="W127" s="261"/>
      <c r="X127" s="261"/>
      <c r="Y127" s="261"/>
      <c r="Z127" s="224"/>
      <c r="AA127" s="224"/>
      <c r="AB127" s="224"/>
      <c r="AC127" s="224"/>
      <c r="AD127" s="224"/>
      <c r="AE127" s="224"/>
      <c r="AF127" s="224"/>
      <c r="AG127" s="224"/>
      <c r="AH127" s="224"/>
      <c r="AI127" s="224"/>
      <c r="AJ127" s="224"/>
      <c r="AK127" s="224"/>
      <c r="AL127" s="224"/>
    </row>
    <row r="128" spans="2:39" x14ac:dyDescent="0.25">
      <c r="B128" s="206" t="str">
        <f>B95</f>
        <v>43 Months to 54 Months</v>
      </c>
      <c r="C128" s="226">
        <f>C62</f>
        <v>-0.15000000000000036</v>
      </c>
      <c r="D128" s="262"/>
      <c r="E128" s="262"/>
      <c r="F128" s="262"/>
      <c r="G128" s="262"/>
      <c r="H128" s="262"/>
      <c r="I128" s="262"/>
      <c r="J128" s="262"/>
      <c r="K128" s="216">
        <f>SUM(D128:J128)*C128</f>
        <v>0</v>
      </c>
      <c r="O128" s="224"/>
      <c r="P128" s="224"/>
      <c r="Q128" s="224"/>
      <c r="R128" s="224"/>
      <c r="S128" s="224"/>
      <c r="T128" s="224"/>
      <c r="U128" s="261"/>
      <c r="V128" s="261"/>
      <c r="W128" s="261"/>
      <c r="X128" s="261"/>
      <c r="Y128" s="261"/>
      <c r="Z128" s="224"/>
      <c r="AA128" s="224"/>
      <c r="AB128" s="224"/>
      <c r="AC128" s="224"/>
      <c r="AD128" s="224"/>
      <c r="AE128" s="224"/>
      <c r="AF128" s="224"/>
      <c r="AG128" s="224"/>
      <c r="AH128" s="224"/>
      <c r="AI128" s="224"/>
      <c r="AJ128" s="224"/>
      <c r="AK128" s="224"/>
      <c r="AL128" s="224"/>
    </row>
    <row r="129" spans="2:38" x14ac:dyDescent="0.25">
      <c r="B129" s="206" t="str">
        <f>B96</f>
        <v>55 Months to 66 Months</v>
      </c>
      <c r="C129" s="226">
        <f>C66</f>
        <v>-0.15000000000000036</v>
      </c>
      <c r="D129" s="262"/>
      <c r="E129" s="262"/>
      <c r="F129" s="262"/>
      <c r="G129" s="262"/>
      <c r="H129" s="262"/>
      <c r="I129" s="262"/>
      <c r="J129" s="262"/>
      <c r="K129" s="216">
        <f>SUM(D129:J129)*C129</f>
        <v>0</v>
      </c>
      <c r="O129" s="224"/>
      <c r="P129" s="224"/>
      <c r="Q129" s="224"/>
      <c r="R129" s="224"/>
      <c r="S129" s="224"/>
      <c r="T129" s="224"/>
      <c r="U129" s="261"/>
      <c r="V129" s="261"/>
      <c r="W129" s="261"/>
      <c r="X129" s="261"/>
      <c r="Y129" s="261"/>
      <c r="Z129" s="224"/>
      <c r="AA129" s="224"/>
      <c r="AB129" s="224"/>
      <c r="AC129" s="224"/>
      <c r="AD129" s="224"/>
      <c r="AE129" s="224"/>
      <c r="AF129" s="224"/>
      <c r="AG129" s="224"/>
      <c r="AH129" s="224"/>
      <c r="AI129" s="224"/>
      <c r="AJ129" s="224"/>
      <c r="AK129" s="224"/>
      <c r="AL129" s="224"/>
    </row>
    <row r="130" spans="2:38" x14ac:dyDescent="0.25">
      <c r="B130" s="263" t="s">
        <v>993</v>
      </c>
      <c r="C130" s="249">
        <f>SUM(C125:C129)</f>
        <v>35.25</v>
      </c>
      <c r="D130" s="246">
        <f t="shared" ref="D130:J130" si="1">SUMPRODUCT($C$125:$C$129,D125:D129)</f>
        <v>0</v>
      </c>
      <c r="E130" s="246">
        <f t="shared" si="1"/>
        <v>0</v>
      </c>
      <c r="F130" s="246">
        <f t="shared" si="1"/>
        <v>0</v>
      </c>
      <c r="G130" s="246">
        <f t="shared" si="1"/>
        <v>4.5030000000000001</v>
      </c>
      <c r="H130" s="246">
        <f t="shared" si="1"/>
        <v>0</v>
      </c>
      <c r="I130" s="246">
        <f t="shared" si="1"/>
        <v>0</v>
      </c>
      <c r="J130" s="246">
        <f t="shared" si="1"/>
        <v>0</v>
      </c>
      <c r="K130" s="246">
        <f>SUM(D130:J130)</f>
        <v>4.5030000000000001</v>
      </c>
      <c r="O130" s="224"/>
      <c r="P130" s="224"/>
      <c r="Q130" s="224"/>
      <c r="R130" s="224"/>
      <c r="S130" s="224"/>
      <c r="T130" s="224"/>
      <c r="U130" s="261"/>
      <c r="V130" s="261"/>
      <c r="W130" s="261"/>
      <c r="X130" s="261"/>
      <c r="Y130" s="261"/>
      <c r="Z130" s="224"/>
      <c r="AA130" s="224"/>
      <c r="AB130" s="224"/>
      <c r="AC130" s="224"/>
      <c r="AD130" s="224"/>
      <c r="AE130" s="224"/>
      <c r="AF130" s="224"/>
      <c r="AG130" s="224"/>
      <c r="AH130" s="224"/>
      <c r="AI130" s="224"/>
      <c r="AJ130" s="224"/>
      <c r="AK130" s="224"/>
      <c r="AL130" s="224"/>
    </row>
    <row r="131" spans="2:38" x14ac:dyDescent="0.25">
      <c r="O131" s="224"/>
      <c r="P131" s="224"/>
      <c r="Q131" s="224"/>
      <c r="R131" s="224"/>
      <c r="S131" s="224"/>
      <c r="T131" s="224"/>
      <c r="U131" s="261"/>
      <c r="V131" s="261"/>
      <c r="W131" s="261"/>
      <c r="X131" s="261"/>
      <c r="Y131" s="261"/>
      <c r="Z131" s="224"/>
      <c r="AA131" s="224"/>
      <c r="AB131" s="224"/>
      <c r="AC131" s="224"/>
      <c r="AD131" s="224"/>
      <c r="AE131" s="224"/>
      <c r="AF131" s="224"/>
      <c r="AG131" s="224"/>
      <c r="AH131" s="224"/>
      <c r="AI131" s="224"/>
      <c r="AJ131" s="224"/>
      <c r="AK131" s="224"/>
      <c r="AL131" s="224"/>
    </row>
    <row r="132" spans="2:38" x14ac:dyDescent="0.25">
      <c r="B132" s="372" t="s">
        <v>890</v>
      </c>
      <c r="C132" s="373"/>
      <c r="D132" s="374"/>
      <c r="E132" s="373"/>
      <c r="F132" s="373"/>
      <c r="G132" s="373"/>
      <c r="H132" s="375"/>
      <c r="O132" s="224"/>
      <c r="P132" s="224"/>
      <c r="Q132" s="224"/>
      <c r="R132" s="224"/>
      <c r="S132" s="224"/>
      <c r="T132" s="224"/>
      <c r="U132" s="261"/>
      <c r="V132" s="261"/>
      <c r="W132" s="261"/>
      <c r="X132" s="261"/>
      <c r="Y132" s="261"/>
      <c r="Z132" s="224"/>
      <c r="AA132" s="224"/>
      <c r="AB132" s="224"/>
      <c r="AC132" s="224"/>
      <c r="AD132" s="224"/>
      <c r="AE132" s="224"/>
      <c r="AF132" s="224"/>
      <c r="AG132" s="224"/>
      <c r="AH132" s="224"/>
      <c r="AI132" s="224"/>
      <c r="AJ132" s="224"/>
      <c r="AK132" s="224"/>
      <c r="AL132" s="224"/>
    </row>
    <row r="133" spans="2:38" ht="31.5" customHeight="1" x14ac:dyDescent="0.25">
      <c r="B133" s="376" t="s">
        <v>891</v>
      </c>
      <c r="C133" s="377" t="s">
        <v>892</v>
      </c>
      <c r="D133" s="377" t="s">
        <v>893</v>
      </c>
      <c r="E133" s="378" t="s">
        <v>894</v>
      </c>
      <c r="F133" s="377" t="s">
        <v>895</v>
      </c>
      <c r="G133" s="377" t="s">
        <v>673</v>
      </c>
      <c r="H133" s="377" t="s">
        <v>674</v>
      </c>
      <c r="I133"/>
      <c r="O133" s="224"/>
      <c r="P133" s="224"/>
      <c r="Q133" s="224"/>
      <c r="R133" s="224"/>
      <c r="S133" s="224"/>
      <c r="T133" s="224"/>
      <c r="U133" s="261"/>
      <c r="V133" s="261"/>
      <c r="W133" s="261"/>
      <c r="X133" s="261"/>
      <c r="Y133" s="261"/>
      <c r="Z133" s="224"/>
      <c r="AA133" s="224"/>
      <c r="AB133" s="224"/>
      <c r="AC133" s="224"/>
      <c r="AD133" s="224"/>
      <c r="AE133" s="224"/>
      <c r="AF133" s="224"/>
      <c r="AG133" s="224"/>
      <c r="AH133" s="224"/>
      <c r="AI133" s="224"/>
      <c r="AJ133" s="224"/>
      <c r="AK133" s="224"/>
      <c r="AL133" s="224"/>
    </row>
    <row r="134" spans="2:38" ht="15.75" x14ac:dyDescent="0.25">
      <c r="B134" s="264" t="str">
        <f>"Age Cohort "&amp; $B$125&amp;" Kept"</f>
        <v>Age Cohort 6 Months to 17 Months Kept</v>
      </c>
      <c r="C134" s="265">
        <f>C50-F50-F51-D50</f>
        <v>11.85</v>
      </c>
      <c r="D134" s="266">
        <v>12</v>
      </c>
      <c r="E134" s="266">
        <f>D134+C9</f>
        <v>18</v>
      </c>
      <c r="F134" s="266">
        <f>C13+C29</f>
        <v>389.55632183908045</v>
      </c>
      <c r="G134" s="267">
        <f>(POWER(((F134+C13)/2),0.75)/97.7)</f>
        <v>0.76508967554169782</v>
      </c>
      <c r="H134" s="268">
        <f t="shared" ref="H134:H153" si="2">G134*C134*(D134/12)</f>
        <v>9.0663126551691189</v>
      </c>
      <c r="I134"/>
      <c r="O134" s="224"/>
      <c r="P134" s="224"/>
      <c r="Q134" s="224"/>
      <c r="R134" s="224"/>
      <c r="S134" s="224"/>
      <c r="T134" s="224"/>
      <c r="U134" s="261"/>
      <c r="V134" s="261"/>
      <c r="W134" s="261"/>
      <c r="X134" s="261"/>
      <c r="Y134" s="261"/>
      <c r="Z134" s="224"/>
      <c r="AA134" s="224"/>
      <c r="AB134" s="224"/>
      <c r="AC134" s="224"/>
      <c r="AD134" s="224"/>
      <c r="AE134" s="224"/>
      <c r="AF134" s="224"/>
      <c r="AG134" s="224"/>
      <c r="AH134" s="224"/>
      <c r="AI134" s="224"/>
      <c r="AJ134" s="224"/>
      <c r="AK134" s="224"/>
      <c r="AL134" s="224"/>
    </row>
    <row r="135" spans="2:38" ht="15.75" x14ac:dyDescent="0.25">
      <c r="B135" s="264" t="str">
        <f>"Age Cohort "&amp; $B$125&amp;" First Sales"</f>
        <v>Age Cohort 6 Months to 17 Months First Sales</v>
      </c>
      <c r="C135" s="265">
        <f>F50</f>
        <v>0</v>
      </c>
      <c r="D135" s="266">
        <f>IF(C135&lt;=0,0,H50-C9)</f>
        <v>0</v>
      </c>
      <c r="E135" s="266">
        <f>H50</f>
        <v>0</v>
      </c>
      <c r="F135" s="266">
        <f>G50</f>
        <v>0</v>
      </c>
      <c r="G135" s="267">
        <f>(POWER(((F135+C13)/2),0.75)/97.7)</f>
        <v>0.37133226943839381</v>
      </c>
      <c r="H135" s="268">
        <f t="shared" si="2"/>
        <v>0</v>
      </c>
      <c r="I135"/>
      <c r="O135" s="224"/>
      <c r="P135" s="224"/>
      <c r="Q135" s="224"/>
      <c r="R135" s="224"/>
      <c r="S135" s="224"/>
      <c r="T135" s="224"/>
      <c r="U135" s="261"/>
      <c r="V135" s="261"/>
      <c r="W135" s="261"/>
      <c r="X135" s="261"/>
      <c r="Y135" s="261"/>
      <c r="Z135" s="224"/>
      <c r="AA135" s="224"/>
      <c r="AB135" s="224"/>
      <c r="AC135" s="224"/>
      <c r="AD135" s="224"/>
      <c r="AE135" s="224"/>
      <c r="AF135" s="224"/>
      <c r="AG135" s="224"/>
      <c r="AH135" s="224"/>
      <c r="AI135" s="224"/>
      <c r="AJ135" s="224"/>
      <c r="AK135" s="224"/>
      <c r="AL135" s="224"/>
    </row>
    <row r="136" spans="2:38" ht="15.75" x14ac:dyDescent="0.25">
      <c r="B136" s="264" t="str">
        <f>"Age Cohort "&amp; $B$125&amp;" Second Sales"</f>
        <v>Age Cohort 6 Months to 17 Months Second Sales</v>
      </c>
      <c r="C136" s="265">
        <f>F51</f>
        <v>0</v>
      </c>
      <c r="D136" s="266">
        <f>IF(C136&lt;=0,0,H51-C9)</f>
        <v>0</v>
      </c>
      <c r="E136" s="266">
        <f>H51</f>
        <v>0</v>
      </c>
      <c r="F136" s="266">
        <f>G51</f>
        <v>0</v>
      </c>
      <c r="G136" s="267">
        <f>(POWER(((F136+C13)/2),0.75)/97.7)</f>
        <v>0.37133226943839381</v>
      </c>
      <c r="H136" s="268">
        <f t="shared" si="2"/>
        <v>0</v>
      </c>
      <c r="I136"/>
      <c r="O136" s="224"/>
      <c r="P136" s="224"/>
      <c r="Q136" s="224"/>
      <c r="R136" s="224"/>
      <c r="S136" s="224"/>
      <c r="T136" s="224"/>
      <c r="U136" s="261"/>
      <c r="V136" s="261"/>
      <c r="W136" s="261"/>
      <c r="X136" s="261"/>
      <c r="Y136" s="261"/>
      <c r="Z136" s="224"/>
      <c r="AA136" s="224"/>
      <c r="AB136" s="224"/>
      <c r="AC136" s="224"/>
      <c r="AD136" s="224"/>
      <c r="AE136" s="224"/>
      <c r="AF136" s="224"/>
      <c r="AG136" s="224"/>
      <c r="AH136" s="224"/>
      <c r="AI136" s="224"/>
      <c r="AJ136" s="224"/>
      <c r="AK136" s="224"/>
      <c r="AL136" s="224"/>
    </row>
    <row r="137" spans="2:38" ht="15.75" x14ac:dyDescent="0.25">
      <c r="B137" s="264" t="s">
        <v>844</v>
      </c>
      <c r="C137" s="265">
        <f>D50</f>
        <v>0</v>
      </c>
      <c r="D137" s="266">
        <v>6</v>
      </c>
      <c r="E137" s="266">
        <f>C9+D137</f>
        <v>12</v>
      </c>
      <c r="F137" s="266">
        <f>IF(C137=0,0,(F134+C13)/2)</f>
        <v>0</v>
      </c>
      <c r="G137" s="267">
        <f>(POWER(((F137+C13)/2),0.75)/97.7)</f>
        <v>0.37133226943839381</v>
      </c>
      <c r="H137" s="268">
        <f t="shared" si="2"/>
        <v>0</v>
      </c>
      <c r="I137"/>
      <c r="O137" s="224"/>
      <c r="P137" s="224"/>
      <c r="Q137" s="224"/>
      <c r="R137" s="224"/>
      <c r="S137" s="224"/>
      <c r="T137" s="224"/>
      <c r="U137" s="261"/>
      <c r="V137" s="261"/>
      <c r="W137" s="261"/>
      <c r="X137" s="261"/>
      <c r="Y137" s="261"/>
      <c r="Z137" s="224"/>
      <c r="AA137" s="224"/>
      <c r="AB137" s="224"/>
      <c r="AC137" s="224"/>
      <c r="AD137" s="224"/>
      <c r="AE137" s="224"/>
      <c r="AF137" s="224"/>
      <c r="AG137" s="224"/>
      <c r="AH137" s="224"/>
      <c r="AI137" s="224"/>
      <c r="AJ137" s="224"/>
      <c r="AK137" s="224"/>
      <c r="AL137" s="224"/>
    </row>
    <row r="138" spans="2:38" ht="15.75" x14ac:dyDescent="0.25">
      <c r="B138" s="269" t="str">
        <f>"Age Cohort "&amp; $B$126&amp;" Kept"</f>
        <v>Age Cohort 18 Months to 30 Months Kept</v>
      </c>
      <c r="C138" s="270">
        <f>C54-F54-F55-D54</f>
        <v>11.85</v>
      </c>
      <c r="D138" s="271">
        <f>IF(C138&lt;=0,0,12)</f>
        <v>12</v>
      </c>
      <c r="E138" s="271">
        <f>E134+12</f>
        <v>30</v>
      </c>
      <c r="F138" s="271">
        <f>F29</f>
        <v>538.91264367816098</v>
      </c>
      <c r="G138" s="272">
        <f>(POWER(((F138+F134)/2),0.75)/97.7)</f>
        <v>1.0236664820740131</v>
      </c>
      <c r="H138" s="273">
        <f t="shared" si="2"/>
        <v>12.130447812577055</v>
      </c>
      <c r="I138"/>
      <c r="O138" s="224"/>
      <c r="P138" s="224"/>
      <c r="Q138" s="224"/>
      <c r="R138" s="224"/>
      <c r="S138" s="224"/>
      <c r="T138" s="224"/>
      <c r="U138" s="261"/>
      <c r="V138" s="261"/>
      <c r="W138" s="261"/>
      <c r="X138" s="261"/>
      <c r="Y138" s="261"/>
      <c r="Z138" s="224"/>
      <c r="AA138" s="224"/>
      <c r="AB138" s="224"/>
      <c r="AC138" s="224"/>
      <c r="AD138" s="224"/>
      <c r="AE138" s="224"/>
      <c r="AF138" s="224"/>
      <c r="AG138" s="224"/>
      <c r="AH138" s="224"/>
      <c r="AI138" s="224"/>
      <c r="AJ138" s="224"/>
      <c r="AK138" s="224"/>
      <c r="AL138" s="224"/>
    </row>
    <row r="139" spans="2:38" ht="15.75" x14ac:dyDescent="0.25">
      <c r="B139" s="269" t="str">
        <f>"Age Cohort "&amp; $B$126&amp;" First Sales"</f>
        <v>Age Cohort 18 Months to 30 Months First Sales</v>
      </c>
      <c r="C139" s="270">
        <f>F54</f>
        <v>0</v>
      </c>
      <c r="D139" s="271">
        <f>IF(C139&lt;=0,0,H54-E134)</f>
        <v>0</v>
      </c>
      <c r="E139" s="271">
        <f>H54</f>
        <v>0</v>
      </c>
      <c r="F139" s="271">
        <f>G54</f>
        <v>0</v>
      </c>
      <c r="G139" s="272">
        <f>(POWER(((F139+F134)/2),0.75)/97.7)</f>
        <v>0.53365506039435495</v>
      </c>
      <c r="H139" s="273">
        <f t="shared" si="2"/>
        <v>0</v>
      </c>
      <c r="I139"/>
      <c r="O139" s="224"/>
      <c r="P139" s="224"/>
      <c r="Q139" s="224"/>
      <c r="R139" s="224"/>
      <c r="S139" s="224"/>
      <c r="T139" s="224"/>
      <c r="U139" s="261"/>
      <c r="V139" s="261"/>
      <c r="W139" s="261"/>
      <c r="X139" s="261"/>
      <c r="Y139" s="261"/>
      <c r="Z139" s="224"/>
      <c r="AA139" s="224"/>
      <c r="AB139" s="224"/>
      <c r="AC139" s="224"/>
      <c r="AD139" s="224"/>
      <c r="AE139" s="224"/>
      <c r="AF139" s="224"/>
      <c r="AG139" s="224"/>
      <c r="AH139" s="224"/>
      <c r="AI139" s="224"/>
      <c r="AJ139" s="224"/>
      <c r="AK139" s="224"/>
      <c r="AL139" s="224"/>
    </row>
    <row r="140" spans="2:38" ht="15.75" x14ac:dyDescent="0.25">
      <c r="B140" s="269" t="str">
        <f>"Age Cohort "&amp; $B$126&amp;" Second Sales"</f>
        <v>Age Cohort 18 Months to 30 Months Second Sales</v>
      </c>
      <c r="C140" s="270">
        <f>F55</f>
        <v>0</v>
      </c>
      <c r="D140" s="271">
        <f>IF(C140&lt;=0,0,H55-E134)</f>
        <v>0</v>
      </c>
      <c r="E140" s="271">
        <f>H55</f>
        <v>0</v>
      </c>
      <c r="F140" s="271">
        <f>G55</f>
        <v>0</v>
      </c>
      <c r="G140" s="272">
        <f>(POWER(((F140+F134)/2),0.75)/97.7)</f>
        <v>0.53365506039435495</v>
      </c>
      <c r="H140" s="273">
        <f t="shared" si="2"/>
        <v>0</v>
      </c>
      <c r="I140"/>
      <c r="O140" s="224"/>
      <c r="P140" s="224"/>
      <c r="Q140" s="224"/>
      <c r="R140" s="224"/>
      <c r="S140" s="224"/>
      <c r="T140" s="224"/>
      <c r="U140" s="261"/>
      <c r="V140" s="261"/>
      <c r="W140" s="261"/>
      <c r="X140" s="261"/>
      <c r="Y140" s="261"/>
      <c r="Z140" s="224"/>
      <c r="AA140" s="224"/>
      <c r="AB140" s="224"/>
      <c r="AC140" s="224"/>
      <c r="AD140" s="224"/>
      <c r="AE140" s="224"/>
      <c r="AF140" s="224"/>
      <c r="AG140" s="224"/>
      <c r="AH140" s="224"/>
      <c r="AI140" s="224"/>
      <c r="AJ140" s="224"/>
      <c r="AK140" s="224"/>
      <c r="AL140" s="224"/>
    </row>
    <row r="141" spans="2:38" ht="15.75" x14ac:dyDescent="0.25">
      <c r="B141" s="269" t="s">
        <v>844</v>
      </c>
      <c r="C141" s="270">
        <f>D54</f>
        <v>0</v>
      </c>
      <c r="D141" s="271">
        <v>6</v>
      </c>
      <c r="E141" s="271">
        <f>E134+D141</f>
        <v>24</v>
      </c>
      <c r="F141" s="271">
        <f>IF(C141=0,0,(F138+F134)/2)</f>
        <v>0</v>
      </c>
      <c r="G141" s="272">
        <f>(POWER(((F141+F134)/2),0.75)/97.7)</f>
        <v>0.53365506039435495</v>
      </c>
      <c r="H141" s="273">
        <f t="shared" si="2"/>
        <v>0</v>
      </c>
      <c r="I141"/>
      <c r="O141" s="224"/>
      <c r="P141" s="224"/>
      <c r="Q141" s="224"/>
      <c r="R141" s="224"/>
      <c r="S141" s="224"/>
      <c r="T141" s="224"/>
      <c r="U141" s="261"/>
      <c r="V141" s="261"/>
      <c r="W141" s="261"/>
      <c r="X141" s="261"/>
      <c r="Y141" s="261"/>
      <c r="Z141" s="224"/>
      <c r="AA141" s="224"/>
      <c r="AB141" s="224"/>
      <c r="AC141" s="224"/>
      <c r="AD141" s="224"/>
      <c r="AE141" s="224"/>
      <c r="AF141" s="224"/>
      <c r="AG141" s="224"/>
      <c r="AH141" s="224"/>
      <c r="AI141" s="224"/>
      <c r="AJ141" s="224"/>
      <c r="AK141" s="224"/>
      <c r="AL141" s="224"/>
    </row>
    <row r="142" spans="2:38" ht="15.75" x14ac:dyDescent="0.25">
      <c r="B142" s="264" t="str">
        <f>"Age Cohort "&amp; $B$127&amp;" Kept"</f>
        <v>Age Cohort 31 Months to 42 Months Kept</v>
      </c>
      <c r="C142" s="265">
        <f>C58-F58-F59-D58</f>
        <v>-0.15000000000000036</v>
      </c>
      <c r="D142" s="266">
        <f>IF(C142&lt;=0,0,12)</f>
        <v>0</v>
      </c>
      <c r="E142" s="266">
        <f>E138+12</f>
        <v>42</v>
      </c>
      <c r="F142" s="266">
        <f>H29</f>
        <v>596.20000000000005</v>
      </c>
      <c r="G142" s="267">
        <f>(POWER(((F142+F138)/2),0.75)/97.7)</f>
        <v>1.1901786637073377</v>
      </c>
      <c r="H142" s="268">
        <f t="shared" si="2"/>
        <v>0</v>
      </c>
      <c r="I142"/>
      <c r="O142" s="224"/>
      <c r="P142" s="224"/>
      <c r="Q142" s="224"/>
      <c r="R142" s="224"/>
      <c r="S142" s="224"/>
      <c r="T142" s="224"/>
      <c r="U142" s="261"/>
      <c r="V142" s="261"/>
      <c r="W142" s="261"/>
      <c r="X142" s="261"/>
      <c r="Y142" s="261"/>
      <c r="Z142" s="224"/>
      <c r="AA142" s="224"/>
      <c r="AB142" s="224"/>
      <c r="AC142" s="224"/>
      <c r="AD142" s="224"/>
      <c r="AE142" s="224"/>
      <c r="AF142" s="224"/>
      <c r="AG142" s="224"/>
      <c r="AH142" s="224"/>
      <c r="AI142" s="224"/>
      <c r="AJ142" s="224"/>
      <c r="AK142" s="224"/>
      <c r="AL142" s="224"/>
    </row>
    <row r="143" spans="2:38" ht="15.75" x14ac:dyDescent="0.25">
      <c r="B143" s="264" t="str">
        <f>"Age Cohort "&amp; $B$127&amp;" First Sales"</f>
        <v>Age Cohort 31 Months to 42 Months First Sales</v>
      </c>
      <c r="C143" s="265">
        <f>F58</f>
        <v>12</v>
      </c>
      <c r="D143" s="266">
        <f>IF(C143&lt;=0,0,H58-E138)</f>
        <v>6</v>
      </c>
      <c r="E143" s="266">
        <f>H58</f>
        <v>36</v>
      </c>
      <c r="F143" s="266">
        <f>G58</f>
        <v>596.20000000000005</v>
      </c>
      <c r="G143" s="267">
        <f>(POWER(((F143+F138)/2),0.75)/97.7)</f>
        <v>1.1901786637073377</v>
      </c>
      <c r="H143" s="268">
        <f t="shared" si="2"/>
        <v>7.1410719822440267</v>
      </c>
      <c r="I143"/>
      <c r="O143" s="224"/>
      <c r="P143" s="224"/>
      <c r="Q143" s="224"/>
      <c r="R143" s="224"/>
      <c r="S143" s="224"/>
      <c r="T143" s="224"/>
      <c r="U143" s="261"/>
      <c r="V143" s="261"/>
      <c r="W143" s="261"/>
      <c r="X143" s="261"/>
      <c r="Y143" s="261"/>
      <c r="Z143" s="224"/>
      <c r="AA143" s="224"/>
      <c r="AB143" s="224"/>
      <c r="AC143" s="224"/>
      <c r="AD143" s="224"/>
      <c r="AE143" s="224"/>
      <c r="AF143" s="224"/>
      <c r="AG143" s="224"/>
      <c r="AH143" s="224"/>
      <c r="AI143" s="224"/>
      <c r="AJ143" s="224"/>
      <c r="AK143" s="224"/>
      <c r="AL143" s="224"/>
    </row>
    <row r="144" spans="2:38" ht="15.75" x14ac:dyDescent="0.25">
      <c r="B144" s="264" t="str">
        <f>"Age Cohort "&amp; $B$127&amp;" Second Sales"</f>
        <v>Age Cohort 31 Months to 42 Months Second Sales</v>
      </c>
      <c r="C144" s="265">
        <f>F59</f>
        <v>0</v>
      </c>
      <c r="D144" s="266">
        <f>IF(C144&lt;=0,0,H59-E138)</f>
        <v>0</v>
      </c>
      <c r="E144" s="266">
        <f>H59</f>
        <v>0</v>
      </c>
      <c r="F144" s="266">
        <f>G59</f>
        <v>0</v>
      </c>
      <c r="G144" s="267">
        <f>(POWER(((F144+F138)/2),0.75)/97.7)</f>
        <v>0.68072502916375077</v>
      </c>
      <c r="H144" s="268">
        <f t="shared" si="2"/>
        <v>0</v>
      </c>
      <c r="I144"/>
      <c r="O144" s="224"/>
      <c r="P144" s="224"/>
      <c r="Q144" s="224"/>
    </row>
    <row r="145" spans="2:44" ht="15.75" x14ac:dyDescent="0.25">
      <c r="B145" s="264" t="s">
        <v>844</v>
      </c>
      <c r="C145" s="265">
        <f>D58</f>
        <v>0</v>
      </c>
      <c r="D145" s="266">
        <v>6</v>
      </c>
      <c r="E145" s="266">
        <f>E138+D145</f>
        <v>36</v>
      </c>
      <c r="F145" s="266">
        <f>IF(C145=0,0,(F142+F138)/2)</f>
        <v>0</v>
      </c>
      <c r="G145" s="267">
        <f>(POWER(((F145+F138)/2),0.75)/97.7)</f>
        <v>0.68072502916375077</v>
      </c>
      <c r="H145" s="268">
        <f t="shared" si="2"/>
        <v>0</v>
      </c>
      <c r="I145"/>
      <c r="O145" s="224"/>
      <c r="P145" s="224"/>
      <c r="Q145" s="224"/>
    </row>
    <row r="146" spans="2:44" ht="15.75" x14ac:dyDescent="0.25">
      <c r="B146" s="269" t="str">
        <f>"Age Cohort "&amp; $B$128&amp;" Kept"</f>
        <v>Age Cohort 43 Months to 54 Months Kept</v>
      </c>
      <c r="C146" s="270">
        <f>C62-F62-F63-D62</f>
        <v>-0.15000000000000036</v>
      </c>
      <c r="D146" s="271">
        <f>IF(C146&lt;=0,0,12)</f>
        <v>0</v>
      </c>
      <c r="E146" s="271">
        <f>E142+12</f>
        <v>54</v>
      </c>
      <c r="F146" s="271">
        <f>J29</f>
        <v>0</v>
      </c>
      <c r="G146" s="272">
        <f>(POWER(((F146+F142)/2),0.75)/97.7)</f>
        <v>0.73430573195998783</v>
      </c>
      <c r="H146" s="273">
        <f t="shared" si="2"/>
        <v>0</v>
      </c>
      <c r="I146"/>
      <c r="O146" s="224"/>
      <c r="P146" s="224"/>
      <c r="Q146" s="224"/>
    </row>
    <row r="147" spans="2:44" ht="15.75" x14ac:dyDescent="0.25">
      <c r="B147" s="269" t="str">
        <f>"Age Cohort "&amp; $B$128&amp;" First Sales"</f>
        <v>Age Cohort 43 Months to 54 Months First Sales</v>
      </c>
      <c r="C147" s="270">
        <f>F62</f>
        <v>0</v>
      </c>
      <c r="D147" s="271">
        <f>IF(C147&lt;=0,0,H62-E142)</f>
        <v>0</v>
      </c>
      <c r="E147" s="271">
        <f>H62</f>
        <v>0</v>
      </c>
      <c r="F147" s="271">
        <f>G62</f>
        <v>0</v>
      </c>
      <c r="G147" s="272">
        <f>(POWER(((F147+F142)/2),0.75)/97.7)</f>
        <v>0.73430573195998783</v>
      </c>
      <c r="H147" s="273">
        <f t="shared" si="2"/>
        <v>0</v>
      </c>
      <c r="I147"/>
      <c r="O147" s="224"/>
      <c r="P147" s="1" t="s">
        <v>788</v>
      </c>
      <c r="R147"/>
      <c r="S147"/>
      <c r="T147"/>
      <c r="U147"/>
      <c r="W147"/>
      <c r="X147"/>
      <c r="Y147" t="s">
        <v>789</v>
      </c>
      <c r="Z147"/>
      <c r="AA147"/>
    </row>
    <row r="148" spans="2:44" ht="15.75" x14ac:dyDescent="0.25">
      <c r="B148" s="269" t="str">
        <f>"Age Cohort "&amp; $B$128&amp;" Second Sales"</f>
        <v>Age Cohort 43 Months to 54 Months Second Sales</v>
      </c>
      <c r="C148" s="270">
        <f>F63</f>
        <v>0</v>
      </c>
      <c r="D148" s="271">
        <f>IF(C148&lt;=0,0,H63-E142)</f>
        <v>0</v>
      </c>
      <c r="E148" s="271">
        <f>H63</f>
        <v>0</v>
      </c>
      <c r="F148" s="271">
        <f>G63</f>
        <v>0</v>
      </c>
      <c r="G148" s="272">
        <f>(POWER(((F148+F142)/2),0.75)/97.7)</f>
        <v>0.73430573195998783</v>
      </c>
      <c r="H148" s="273">
        <f t="shared" si="2"/>
        <v>0</v>
      </c>
      <c r="I148"/>
      <c r="O148" s="224"/>
      <c r="P148" s="15"/>
      <c r="Q148" s="1"/>
      <c r="R148"/>
      <c r="S148"/>
      <c r="T148"/>
      <c r="U148"/>
      <c r="V148"/>
      <c r="W148"/>
      <c r="X148"/>
      <c r="Y148"/>
      <c r="Z148"/>
      <c r="AA148"/>
    </row>
    <row r="149" spans="2:44" ht="15.75" x14ac:dyDescent="0.25">
      <c r="B149" s="269" t="s">
        <v>844</v>
      </c>
      <c r="C149" s="270">
        <f>D62</f>
        <v>0</v>
      </c>
      <c r="D149" s="271">
        <v>6</v>
      </c>
      <c r="E149" s="271">
        <f>E142+D149</f>
        <v>48</v>
      </c>
      <c r="F149" s="271">
        <f>IF(C149=0,0,(F146+F142)/2)</f>
        <v>0</v>
      </c>
      <c r="G149" s="272">
        <f>(POWER(((F149+F142)/2),0.75)/97.7)</f>
        <v>0.73430573195998783</v>
      </c>
      <c r="H149" s="273">
        <f t="shared" si="2"/>
        <v>0</v>
      </c>
      <c r="I149"/>
      <c r="O149" s="224"/>
      <c r="P149" s="16"/>
      <c r="Q149" s="1"/>
      <c r="R149"/>
      <c r="S149"/>
      <c r="T149"/>
      <c r="U149"/>
      <c r="V149"/>
      <c r="W149"/>
      <c r="X149"/>
      <c r="Y149"/>
      <c r="Z149"/>
      <c r="AA149"/>
    </row>
    <row r="150" spans="2:44" ht="15.75" x14ac:dyDescent="0.25">
      <c r="B150" s="264" t="str">
        <f>"Age Cohort "&amp; $B$129&amp;" Kept"</f>
        <v>Age Cohort 55 Months to 66 Months Kept</v>
      </c>
      <c r="C150" s="265">
        <f>C66-F66-F67-D66</f>
        <v>-0.15000000000000036</v>
      </c>
      <c r="D150" s="266">
        <f>IF(C150&lt;=0,0,12)</f>
        <v>0</v>
      </c>
      <c r="E150" s="266">
        <f>E146+12</f>
        <v>66</v>
      </c>
      <c r="F150" s="266">
        <f>L29</f>
        <v>0</v>
      </c>
      <c r="G150" s="267">
        <f>(POWER(((F150+F146)/2),0.75)/97.7)</f>
        <v>0</v>
      </c>
      <c r="H150" s="268">
        <f t="shared" si="2"/>
        <v>0</v>
      </c>
      <c r="I150"/>
      <c r="O150" s="224"/>
      <c r="P150" s="16"/>
      <c r="Q150" s="1"/>
      <c r="R150"/>
      <c r="S150"/>
      <c r="T150"/>
      <c r="U150"/>
      <c r="V150"/>
      <c r="W150"/>
      <c r="X150"/>
      <c r="Y150"/>
      <c r="Z150"/>
      <c r="AA150"/>
    </row>
    <row r="151" spans="2:44" ht="15.75" x14ac:dyDescent="0.25">
      <c r="B151" s="264" t="str">
        <f>"Age Cohort "&amp; $B$129&amp;" First Sales"</f>
        <v>Age Cohort 55 Months to 66 Months First Sales</v>
      </c>
      <c r="C151" s="265">
        <f>F66</f>
        <v>0</v>
      </c>
      <c r="D151" s="266">
        <f>IF(C151&lt;=0,0,H66-E146)</f>
        <v>0</v>
      </c>
      <c r="E151" s="266">
        <f>H66</f>
        <v>0</v>
      </c>
      <c r="F151" s="266">
        <f>G66</f>
        <v>0</v>
      </c>
      <c r="G151" s="267">
        <f>(POWER(((F151+F146)/2),0.75)/97.7)</f>
        <v>0</v>
      </c>
      <c r="H151" s="268">
        <f t="shared" si="2"/>
        <v>0</v>
      </c>
      <c r="I151"/>
    </row>
    <row r="152" spans="2:44" ht="15.75" x14ac:dyDescent="0.25">
      <c r="B152" s="264" t="str">
        <f>"Age Cohort "&amp; $B$129&amp;" Second Sales"</f>
        <v>Age Cohort 55 Months to 66 Months Second Sales</v>
      </c>
      <c r="C152" s="265">
        <f>F67</f>
        <v>0</v>
      </c>
      <c r="D152" s="266">
        <f>IF(C152&lt;=0,0,H67-E146)</f>
        <v>0</v>
      </c>
      <c r="E152" s="266">
        <f>H67</f>
        <v>0</v>
      </c>
      <c r="F152" s="266">
        <f>G67</f>
        <v>0</v>
      </c>
      <c r="G152" s="267">
        <f>(POWER(((F152+F146)/2),0.75)/97.7)</f>
        <v>0</v>
      </c>
      <c r="H152" s="268">
        <f t="shared" si="2"/>
        <v>0</v>
      </c>
      <c r="I152"/>
    </row>
    <row r="153" spans="2:44" ht="15.75" x14ac:dyDescent="0.25">
      <c r="B153" s="264" t="s">
        <v>844</v>
      </c>
      <c r="C153" s="265">
        <f>D66</f>
        <v>0</v>
      </c>
      <c r="D153" s="266">
        <v>6</v>
      </c>
      <c r="E153" s="266">
        <f>E146+D153</f>
        <v>60</v>
      </c>
      <c r="F153" s="266">
        <f>IF(C153=0,0,(F150+F146)/2)</f>
        <v>0</v>
      </c>
      <c r="G153" s="267">
        <f>(POWER(((F153+F146)/2),0.75)/97.7)</f>
        <v>0</v>
      </c>
      <c r="H153" s="268">
        <f t="shared" si="2"/>
        <v>0</v>
      </c>
      <c r="I153"/>
    </row>
    <row r="154" spans="2:44" ht="15.75" x14ac:dyDescent="0.25">
      <c r="B154" s="245" t="s">
        <v>896</v>
      </c>
      <c r="C154" s="226">
        <f>SUM(C134:C152)</f>
        <v>35.25</v>
      </c>
      <c r="D154" s="224"/>
      <c r="E154" s="224"/>
      <c r="F154" s="224"/>
      <c r="G154" s="224"/>
      <c r="H154" s="226">
        <f>SUM(H134:H152)</f>
        <v>28.337832449990202</v>
      </c>
      <c r="I154"/>
    </row>
    <row r="155" spans="2:44" ht="15.75" x14ac:dyDescent="0.25">
      <c r="B155" s="224"/>
      <c r="C155" s="224"/>
      <c r="D155" s="224"/>
      <c r="E155" s="274"/>
      <c r="F155" s="224"/>
      <c r="G155" s="224"/>
      <c r="H155" s="224"/>
      <c r="I155"/>
    </row>
    <row r="156" spans="2:44" x14ac:dyDescent="0.25">
      <c r="B156" s="224"/>
      <c r="C156" s="224"/>
      <c r="D156" s="224"/>
      <c r="E156" s="274"/>
      <c r="F156" s="224"/>
      <c r="G156" s="224"/>
      <c r="H156" s="224"/>
    </row>
    <row r="157" spans="2:44" x14ac:dyDescent="0.25">
      <c r="B157" s="224"/>
      <c r="C157" s="224"/>
      <c r="D157" s="224"/>
      <c r="E157" s="274"/>
      <c r="F157" s="224"/>
      <c r="G157" s="224"/>
      <c r="H157" s="224"/>
    </row>
    <row r="158" spans="2:44" ht="21" x14ac:dyDescent="0.35">
      <c r="B158" s="194" t="s">
        <v>795</v>
      </c>
      <c r="C158" s="194" t="s">
        <v>620</v>
      </c>
      <c r="D158"/>
      <c r="E158"/>
      <c r="F158"/>
      <c r="G158"/>
      <c r="H158"/>
      <c r="I158"/>
      <c r="J158"/>
      <c r="L158" s="194" t="s">
        <v>582</v>
      </c>
      <c r="N158" s="194" t="s">
        <v>620</v>
      </c>
      <c r="O158"/>
      <c r="P158"/>
      <c r="Q158"/>
      <c r="R158"/>
      <c r="S158"/>
      <c r="T158"/>
      <c r="U158"/>
      <c r="Y158" s="194" t="s">
        <v>795</v>
      </c>
      <c r="Z158" s="194" t="s">
        <v>621</v>
      </c>
      <c r="AA158"/>
      <c r="AB158"/>
      <c r="AC158"/>
      <c r="AD158"/>
      <c r="AE158"/>
      <c r="AF158"/>
      <c r="AG158"/>
      <c r="AI158" s="194" t="s">
        <v>582</v>
      </c>
      <c r="AJ158" s="194" t="s">
        <v>621</v>
      </c>
      <c r="AL158"/>
      <c r="AM158"/>
      <c r="AN158"/>
      <c r="AO158"/>
      <c r="AP158"/>
      <c r="AQ158"/>
      <c r="AR158"/>
    </row>
    <row r="159" spans="2:44" ht="15.75" x14ac:dyDescent="0.25">
      <c r="B159" s="65"/>
      <c r="C159" s="1"/>
      <c r="D159" s="14"/>
      <c r="E159" s="14"/>
      <c r="F159" s="14"/>
      <c r="G159" s="14"/>
      <c r="H159" s="14"/>
      <c r="I159" s="14"/>
      <c r="J159" s="14"/>
      <c r="L159" s="65"/>
      <c r="M159" s="1"/>
      <c r="N159" s="14"/>
      <c r="O159" s="14"/>
      <c r="P159" s="14"/>
      <c r="Q159" s="14"/>
      <c r="R159" s="14"/>
      <c r="S159" s="14"/>
      <c r="T159" s="14"/>
      <c r="U159" s="14"/>
      <c r="Y159" s="65"/>
      <c r="Z159" s="1"/>
      <c r="AA159" s="14"/>
      <c r="AB159" s="14"/>
      <c r="AC159" s="14"/>
      <c r="AD159" s="14"/>
      <c r="AE159" s="14"/>
      <c r="AF159" s="14"/>
      <c r="AG159" s="14"/>
      <c r="AI159" s="65"/>
      <c r="AJ159" s="1"/>
      <c r="AK159" s="14"/>
      <c r="AL159" s="14"/>
      <c r="AM159" s="14"/>
      <c r="AN159" s="14"/>
      <c r="AO159" s="14"/>
      <c r="AP159" s="14"/>
      <c r="AQ159" s="14"/>
      <c r="AR159" s="14"/>
    </row>
    <row r="160" spans="2:44" x14ac:dyDescent="0.25">
      <c r="B160" s="379" t="s">
        <v>994</v>
      </c>
      <c r="C160" s="380" t="s">
        <v>583</v>
      </c>
      <c r="D160" s="381" t="s">
        <v>616</v>
      </c>
      <c r="E160" s="379" t="s">
        <v>619</v>
      </c>
      <c r="F160" s="382" t="s">
        <v>617</v>
      </c>
      <c r="G160" s="382" t="s">
        <v>618</v>
      </c>
      <c r="H160" s="383" t="s">
        <v>489</v>
      </c>
      <c r="I160" s="383" t="s">
        <v>490</v>
      </c>
      <c r="L160" s="379" t="s">
        <v>994</v>
      </c>
      <c r="M160" s="380" t="s">
        <v>583</v>
      </c>
      <c r="N160" s="381" t="s">
        <v>616</v>
      </c>
      <c r="O160" s="379" t="s">
        <v>619</v>
      </c>
      <c r="P160" s="382" t="s">
        <v>617</v>
      </c>
      <c r="Q160" s="379"/>
      <c r="R160" s="382" t="s">
        <v>618</v>
      </c>
      <c r="S160" s="384" t="s">
        <v>489</v>
      </c>
      <c r="T160" s="384" t="s">
        <v>490</v>
      </c>
      <c r="U160" s="304"/>
      <c r="Y160" s="299" t="s">
        <v>994</v>
      </c>
      <c r="Z160" s="300" t="s">
        <v>583</v>
      </c>
      <c r="AA160" s="301" t="s">
        <v>616</v>
      </c>
      <c r="AB160" s="299" t="s">
        <v>619</v>
      </c>
      <c r="AC160" s="302" t="s">
        <v>617</v>
      </c>
      <c r="AD160" s="302" t="s">
        <v>618</v>
      </c>
      <c r="AE160" s="326" t="s">
        <v>489</v>
      </c>
      <c r="AF160" s="326" t="s">
        <v>490</v>
      </c>
      <c r="AI160" s="299" t="s">
        <v>994</v>
      </c>
      <c r="AJ160" s="300" t="s">
        <v>583</v>
      </c>
      <c r="AK160" s="301" t="s">
        <v>616</v>
      </c>
      <c r="AL160" s="299" t="s">
        <v>619</v>
      </c>
      <c r="AM160" s="302" t="s">
        <v>617</v>
      </c>
      <c r="AN160" s="299"/>
      <c r="AO160" s="302" t="s">
        <v>618</v>
      </c>
      <c r="AP160" s="303" t="s">
        <v>489</v>
      </c>
      <c r="AQ160" s="303" t="s">
        <v>490</v>
      </c>
      <c r="AR160" s="304"/>
    </row>
    <row r="161" spans="2:44" x14ac:dyDescent="0.25">
      <c r="B161" s="305"/>
      <c r="C161" s="264" t="str">
        <f>IF(B161&lt;=0,"",VLOOKUP(B161,Treatments!$C$7:$J$407,2))</f>
        <v/>
      </c>
      <c r="D161" s="306"/>
      <c r="E161" s="233">
        <f>VLOOKUP(B161,Treatments!$C$7:$J$407,8)</f>
        <v>0</v>
      </c>
      <c r="F161" s="305"/>
      <c r="G161" s="308"/>
      <c r="H161" s="233">
        <f>D161*E161*F161*G161</f>
        <v>0</v>
      </c>
      <c r="I161" s="216">
        <f>H161*$D$3</f>
        <v>0</v>
      </c>
      <c r="L161" s="305"/>
      <c r="M161" s="264" t="str">
        <f>VLOOKUP(L161,Treatments!$C$7:$J$407,2)</f>
        <v>No treatment</v>
      </c>
      <c r="N161" s="306"/>
      <c r="O161" s="233">
        <f>VLOOKUP(L161,Treatments!$C$7:$J$407,8)</f>
        <v>0</v>
      </c>
      <c r="P161" s="305"/>
      <c r="Q161" s="307"/>
      <c r="R161" s="308"/>
      <c r="S161" s="233">
        <f t="shared" ref="S161:S166" si="3">N161*O161*P161*R161</f>
        <v>0</v>
      </c>
      <c r="T161" s="216">
        <f t="shared" ref="T161:T166" si="4">S161*$D$3</f>
        <v>0</v>
      </c>
      <c r="U161" s="304"/>
      <c r="Y161" s="327">
        <f>IF(AND(B161&gt;=344,B161&lt;=358),B161+15,B161)</f>
        <v>0</v>
      </c>
      <c r="Z161" s="264" t="str">
        <f>VLOOKUP(Y161,Treatments!$C$7:$J$407,2)</f>
        <v>No treatment</v>
      </c>
      <c r="AA161" s="200">
        <f>D161</f>
        <v>0</v>
      </c>
      <c r="AB161" s="233">
        <f>VLOOKUP(Y161,Treatments!$C$7:$J$407,8)</f>
        <v>0</v>
      </c>
      <c r="AC161" s="200">
        <f>F161</f>
        <v>0</v>
      </c>
      <c r="AD161" s="296">
        <f>G161</f>
        <v>0</v>
      </c>
      <c r="AE161" s="233">
        <f>AA161*AB161*AC161*AD161</f>
        <v>0</v>
      </c>
      <c r="AF161" s="216">
        <f>AE161*$D$3</f>
        <v>0</v>
      </c>
      <c r="AI161" s="327">
        <f t="shared" ref="AI161:AI166" si="5">IF(AND(L161&gt;=344,L161&lt;=358),L161+15,L161)</f>
        <v>0</v>
      </c>
      <c r="AJ161" s="264" t="str">
        <f>VLOOKUP(AI161,Treatments!$C$7:$J$407,2)</f>
        <v>No treatment</v>
      </c>
      <c r="AK161" s="200">
        <f t="shared" ref="AK161:AK166" si="6">N161</f>
        <v>0</v>
      </c>
      <c r="AL161" s="233">
        <f>VLOOKUP(AI161,Treatments!$C$7:$J$407,8)</f>
        <v>0</v>
      </c>
      <c r="AM161" s="200">
        <f t="shared" ref="AM161:AM166" si="7">P161</f>
        <v>0</v>
      </c>
      <c r="AN161" s="307"/>
      <c r="AO161" s="296">
        <f t="shared" ref="AO161:AO166" si="8">R161</f>
        <v>0</v>
      </c>
      <c r="AP161" s="233">
        <f t="shared" ref="AP161:AP166" si="9">AK161*AL161*AM161*AO161</f>
        <v>0</v>
      </c>
      <c r="AQ161" s="216">
        <f t="shared" ref="AQ161:AQ166" si="10">AP161*$D$3</f>
        <v>0</v>
      </c>
      <c r="AR161" s="304"/>
    </row>
    <row r="162" spans="2:44" x14ac:dyDescent="0.25">
      <c r="B162" s="305"/>
      <c r="C162" s="264" t="str">
        <f>IF(B162&lt;=0,"",VLOOKUP(B162,Treatments!$C$7:$J$407,2))</f>
        <v/>
      </c>
      <c r="D162" s="306"/>
      <c r="E162" s="233">
        <f>VLOOKUP(B162,Treatments!$C$7:$J$407,8)</f>
        <v>0</v>
      </c>
      <c r="F162" s="305"/>
      <c r="G162" s="308"/>
      <c r="H162" s="233">
        <f>D162*E162*F162*G162</f>
        <v>0</v>
      </c>
      <c r="I162" s="216">
        <f>H162*$D$3</f>
        <v>0</v>
      </c>
      <c r="L162" s="305"/>
      <c r="M162" s="264" t="str">
        <f>VLOOKUP(L162,Treatments!$C$7:$J$407,2)</f>
        <v>No treatment</v>
      </c>
      <c r="N162" s="306"/>
      <c r="O162" s="233">
        <f>VLOOKUP(L162,Treatments!$C$7:$J$407,8)</f>
        <v>0</v>
      </c>
      <c r="P162" s="305"/>
      <c r="Q162" s="309"/>
      <c r="R162" s="308"/>
      <c r="S162" s="233">
        <f t="shared" si="3"/>
        <v>0</v>
      </c>
      <c r="T162" s="216">
        <f t="shared" si="4"/>
        <v>0</v>
      </c>
      <c r="U162" s="304"/>
      <c r="Y162" s="327">
        <f t="shared" ref="Y162:Y175" si="11">IF(AND(B162&gt;=344,B162&lt;=358),B162+15,B162)</f>
        <v>0</v>
      </c>
      <c r="Z162" s="264" t="str">
        <f>VLOOKUP(Y162,Treatments!$C$7:$J$407,2)</f>
        <v>No treatment</v>
      </c>
      <c r="AA162" s="200">
        <f t="shared" ref="AA162:AA175" si="12">D162</f>
        <v>0</v>
      </c>
      <c r="AB162" s="233">
        <f>VLOOKUP(Y162,Treatments!$C$7:$J$407,8)</f>
        <v>0</v>
      </c>
      <c r="AC162" s="200">
        <f t="shared" ref="AC162:AD175" si="13">F162</f>
        <v>0</v>
      </c>
      <c r="AD162" s="296">
        <f t="shared" si="13"/>
        <v>0</v>
      </c>
      <c r="AE162" s="233">
        <f>AA162*AB162*AC162*AD162</f>
        <v>0</v>
      </c>
      <c r="AF162" s="216">
        <f>AE162*$D$3</f>
        <v>0</v>
      </c>
      <c r="AI162" s="327">
        <f t="shared" si="5"/>
        <v>0</v>
      </c>
      <c r="AJ162" s="264" t="str">
        <f>VLOOKUP(AI162,Treatments!$C$7:$J$407,2)</f>
        <v>No treatment</v>
      </c>
      <c r="AK162" s="200">
        <f t="shared" si="6"/>
        <v>0</v>
      </c>
      <c r="AL162" s="233">
        <f>VLOOKUP(AI162,Treatments!$C$7:$J$407,8)</f>
        <v>0</v>
      </c>
      <c r="AM162" s="200">
        <f t="shared" si="7"/>
        <v>0</v>
      </c>
      <c r="AN162" s="309"/>
      <c r="AO162" s="296">
        <f t="shared" si="8"/>
        <v>0</v>
      </c>
      <c r="AP162" s="233">
        <f t="shared" si="9"/>
        <v>0</v>
      </c>
      <c r="AQ162" s="216">
        <f t="shared" si="10"/>
        <v>0</v>
      </c>
      <c r="AR162" s="304"/>
    </row>
    <row r="163" spans="2:44" x14ac:dyDescent="0.25">
      <c r="B163" s="305"/>
      <c r="C163" s="264" t="str">
        <f>IF(B163&lt;=0,"",VLOOKUP(B163,Treatments!$C$7:$J$407,2))</f>
        <v/>
      </c>
      <c r="D163" s="306"/>
      <c r="E163" s="233">
        <f>VLOOKUP(B163,Treatments!$C$7:$J$407,8)</f>
        <v>0</v>
      </c>
      <c r="F163" s="305"/>
      <c r="G163" s="308"/>
      <c r="H163" s="233">
        <f t="shared" ref="H163:H173" si="14">D163*E163*F163*G163</f>
        <v>0</v>
      </c>
      <c r="I163" s="216">
        <f t="shared" ref="I163:I173" si="15">H163*$D$3</f>
        <v>0</v>
      </c>
      <c r="L163" s="305"/>
      <c r="M163" s="264" t="str">
        <f>VLOOKUP(L163,Treatments!$C$7:$J$407,2)</f>
        <v>No treatment</v>
      </c>
      <c r="N163" s="306"/>
      <c r="O163" s="233">
        <f>VLOOKUP(L163,Treatments!$C$7:$J$407,8)</f>
        <v>0</v>
      </c>
      <c r="P163" s="305"/>
      <c r="Q163" s="310"/>
      <c r="R163" s="308"/>
      <c r="S163" s="233">
        <f t="shared" si="3"/>
        <v>0</v>
      </c>
      <c r="T163" s="216">
        <f t="shared" si="4"/>
        <v>0</v>
      </c>
      <c r="U163" s="304"/>
      <c r="Y163" s="327">
        <f t="shared" si="11"/>
        <v>0</v>
      </c>
      <c r="Z163" s="264" t="str">
        <f>VLOOKUP(Y163,Treatments!$C$7:$J$407,2)</f>
        <v>No treatment</v>
      </c>
      <c r="AA163" s="200">
        <f t="shared" si="12"/>
        <v>0</v>
      </c>
      <c r="AB163" s="233">
        <f>VLOOKUP(Y163,Treatments!$C$7:$J$407,8)</f>
        <v>0</v>
      </c>
      <c r="AC163" s="200">
        <f t="shared" si="13"/>
        <v>0</v>
      </c>
      <c r="AD163" s="296">
        <f t="shared" si="13"/>
        <v>0</v>
      </c>
      <c r="AE163" s="233">
        <f t="shared" ref="AE163:AE173" si="16">AA163*AB163*AC163*AD163</f>
        <v>0</v>
      </c>
      <c r="AF163" s="216">
        <f t="shared" ref="AF163:AF173" si="17">AE163*$D$3</f>
        <v>0</v>
      </c>
      <c r="AI163" s="327">
        <f t="shared" si="5"/>
        <v>0</v>
      </c>
      <c r="AJ163" s="264" t="str">
        <f>VLOOKUP(AI163,Treatments!$C$7:$J$407,2)</f>
        <v>No treatment</v>
      </c>
      <c r="AK163" s="200">
        <f t="shared" si="6"/>
        <v>0</v>
      </c>
      <c r="AL163" s="233">
        <f>VLOOKUP(AI163,Treatments!$C$7:$J$407,8)</f>
        <v>0</v>
      </c>
      <c r="AM163" s="200">
        <f t="shared" si="7"/>
        <v>0</v>
      </c>
      <c r="AN163" s="310"/>
      <c r="AO163" s="296">
        <f t="shared" si="8"/>
        <v>0</v>
      </c>
      <c r="AP163" s="233">
        <f t="shared" si="9"/>
        <v>0</v>
      </c>
      <c r="AQ163" s="216">
        <f t="shared" si="10"/>
        <v>0</v>
      </c>
      <c r="AR163" s="304"/>
    </row>
    <row r="164" spans="2:44" x14ac:dyDescent="0.25">
      <c r="B164" s="305"/>
      <c r="C164" s="264" t="str">
        <f>IF(B164&lt;=0,"",VLOOKUP(B164,Treatments!$C$7:$J$407,2))</f>
        <v/>
      </c>
      <c r="D164" s="306"/>
      <c r="E164" s="233">
        <f>VLOOKUP(B164,Treatments!$C$7:$J$407,8)</f>
        <v>0</v>
      </c>
      <c r="F164" s="305"/>
      <c r="G164" s="308"/>
      <c r="H164" s="233">
        <f t="shared" si="14"/>
        <v>0</v>
      </c>
      <c r="I164" s="216">
        <f t="shared" si="15"/>
        <v>0</v>
      </c>
      <c r="L164" s="305"/>
      <c r="M164" s="264" t="str">
        <f>VLOOKUP(L164,Treatments!$C$7:$J$407,2)</f>
        <v>No treatment</v>
      </c>
      <c r="N164" s="306"/>
      <c r="O164" s="233">
        <f>VLOOKUP(L164,Treatments!$C$7:$J$407,8)</f>
        <v>0</v>
      </c>
      <c r="P164" s="305"/>
      <c r="Q164" s="311"/>
      <c r="R164" s="308"/>
      <c r="S164" s="233">
        <f t="shared" si="3"/>
        <v>0</v>
      </c>
      <c r="T164" s="216">
        <f t="shared" si="4"/>
        <v>0</v>
      </c>
      <c r="U164" s="304"/>
      <c r="Y164" s="327">
        <f t="shared" si="11"/>
        <v>0</v>
      </c>
      <c r="Z164" s="264" t="str">
        <f>VLOOKUP(Y164,Treatments!$C$7:$J$407,2)</f>
        <v>No treatment</v>
      </c>
      <c r="AA164" s="200">
        <f t="shared" si="12"/>
        <v>0</v>
      </c>
      <c r="AB164" s="233">
        <f>VLOOKUP(Y164,Treatments!$C$7:$J$407,8)</f>
        <v>0</v>
      </c>
      <c r="AC164" s="200">
        <f t="shared" si="13"/>
        <v>0</v>
      </c>
      <c r="AD164" s="296">
        <f t="shared" si="13"/>
        <v>0</v>
      </c>
      <c r="AE164" s="233">
        <f t="shared" si="16"/>
        <v>0</v>
      </c>
      <c r="AF164" s="216">
        <f t="shared" si="17"/>
        <v>0</v>
      </c>
      <c r="AI164" s="327">
        <f t="shared" si="5"/>
        <v>0</v>
      </c>
      <c r="AJ164" s="264" t="str">
        <f>VLOOKUP(AI164,Treatments!$C$7:$J$407,2)</f>
        <v>No treatment</v>
      </c>
      <c r="AK164" s="200">
        <f t="shared" si="6"/>
        <v>0</v>
      </c>
      <c r="AL164" s="233">
        <f>VLOOKUP(AI164,Treatments!$C$7:$J$407,8)</f>
        <v>0</v>
      </c>
      <c r="AM164" s="200">
        <f t="shared" si="7"/>
        <v>0</v>
      </c>
      <c r="AN164" s="311"/>
      <c r="AO164" s="296">
        <f t="shared" si="8"/>
        <v>0</v>
      </c>
      <c r="AP164" s="233">
        <f t="shared" si="9"/>
        <v>0</v>
      </c>
      <c r="AQ164" s="216">
        <f t="shared" si="10"/>
        <v>0</v>
      </c>
      <c r="AR164" s="304"/>
    </row>
    <row r="165" spans="2:44" x14ac:dyDescent="0.25">
      <c r="B165" s="305"/>
      <c r="C165" s="264" t="str">
        <f>IF(B165&lt;=0,"",VLOOKUP(B165,Treatments!$C$7:$J$407,2))</f>
        <v/>
      </c>
      <c r="D165" s="306"/>
      <c r="E165" s="233">
        <f>VLOOKUP(B165,Treatments!$C$7:$J$407,8)</f>
        <v>0</v>
      </c>
      <c r="F165" s="305"/>
      <c r="G165" s="308"/>
      <c r="H165" s="233">
        <f t="shared" si="14"/>
        <v>0</v>
      </c>
      <c r="I165" s="216">
        <f t="shared" si="15"/>
        <v>0</v>
      </c>
      <c r="L165" s="305"/>
      <c r="M165" s="264" t="str">
        <f>VLOOKUP(L165,Treatments!$C$7:$J$407,2)</f>
        <v>No treatment</v>
      </c>
      <c r="N165" s="306"/>
      <c r="O165" s="233">
        <f>VLOOKUP(L165,Treatments!$C$7:$J$407,8)</f>
        <v>0</v>
      </c>
      <c r="P165" s="305"/>
      <c r="Q165" s="311"/>
      <c r="R165" s="308"/>
      <c r="S165" s="233">
        <f t="shared" si="3"/>
        <v>0</v>
      </c>
      <c r="T165" s="216">
        <f t="shared" si="4"/>
        <v>0</v>
      </c>
      <c r="U165" s="304"/>
      <c r="Y165" s="327">
        <f t="shared" si="11"/>
        <v>0</v>
      </c>
      <c r="Z165" s="264" t="str">
        <f>VLOOKUP(Y165,Treatments!$C$7:$J$407,2)</f>
        <v>No treatment</v>
      </c>
      <c r="AA165" s="200">
        <f t="shared" si="12"/>
        <v>0</v>
      </c>
      <c r="AB165" s="233">
        <f>VLOOKUP(Y165,Treatments!$C$7:$J$407,8)</f>
        <v>0</v>
      </c>
      <c r="AC165" s="200">
        <f t="shared" si="13"/>
        <v>0</v>
      </c>
      <c r="AD165" s="296">
        <f t="shared" si="13"/>
        <v>0</v>
      </c>
      <c r="AE165" s="233">
        <f t="shared" si="16"/>
        <v>0</v>
      </c>
      <c r="AF165" s="216">
        <f t="shared" si="17"/>
        <v>0</v>
      </c>
      <c r="AI165" s="327">
        <f t="shared" si="5"/>
        <v>0</v>
      </c>
      <c r="AJ165" s="264" t="str">
        <f>VLOOKUP(AI165,Treatments!$C$7:$J$407,2)</f>
        <v>No treatment</v>
      </c>
      <c r="AK165" s="200">
        <f t="shared" si="6"/>
        <v>0</v>
      </c>
      <c r="AL165" s="233">
        <f>VLOOKUP(AI165,Treatments!$C$7:$J$407,8)</f>
        <v>0</v>
      </c>
      <c r="AM165" s="200">
        <f t="shared" si="7"/>
        <v>0</v>
      </c>
      <c r="AN165" s="311"/>
      <c r="AO165" s="296">
        <f t="shared" si="8"/>
        <v>0</v>
      </c>
      <c r="AP165" s="233">
        <f t="shared" si="9"/>
        <v>0</v>
      </c>
      <c r="AQ165" s="216">
        <f t="shared" si="10"/>
        <v>0</v>
      </c>
      <c r="AR165" s="304"/>
    </row>
    <row r="166" spans="2:44" x14ac:dyDescent="0.25">
      <c r="B166" s="305"/>
      <c r="C166" s="264" t="str">
        <f>IF(B166&lt;=0,"",VLOOKUP(B166,Treatments!$C$7:$J$407,2))</f>
        <v/>
      </c>
      <c r="D166" s="306"/>
      <c r="E166" s="233">
        <f>VLOOKUP(B166,Treatments!$C$7:$J$407,8)</f>
        <v>0</v>
      </c>
      <c r="F166" s="305"/>
      <c r="G166" s="308"/>
      <c r="H166" s="233">
        <f t="shared" si="14"/>
        <v>0</v>
      </c>
      <c r="I166" s="216">
        <f t="shared" si="15"/>
        <v>0</v>
      </c>
      <c r="L166" s="305"/>
      <c r="M166" s="264" t="str">
        <f>VLOOKUP(L166,Treatments!$C$7:$J$407,2)</f>
        <v>No treatment</v>
      </c>
      <c r="N166" s="306"/>
      <c r="O166" s="233">
        <f>VLOOKUP(L166,Treatments!$C$7:$J$407,8)</f>
        <v>0</v>
      </c>
      <c r="P166" s="305"/>
      <c r="Q166" s="311"/>
      <c r="R166" s="308"/>
      <c r="S166" s="233">
        <f t="shared" si="3"/>
        <v>0</v>
      </c>
      <c r="T166" s="216">
        <f t="shared" si="4"/>
        <v>0</v>
      </c>
      <c r="U166" s="304"/>
      <c r="Y166" s="327">
        <f t="shared" si="11"/>
        <v>0</v>
      </c>
      <c r="Z166" s="264" t="str">
        <f>VLOOKUP(Y166,Treatments!$C$7:$J$407,2)</f>
        <v>No treatment</v>
      </c>
      <c r="AA166" s="200">
        <f t="shared" si="12"/>
        <v>0</v>
      </c>
      <c r="AB166" s="233">
        <f>VLOOKUP(Y166,Treatments!$C$7:$J$407,8)</f>
        <v>0</v>
      </c>
      <c r="AC166" s="200">
        <f t="shared" si="13"/>
        <v>0</v>
      </c>
      <c r="AD166" s="296">
        <f t="shared" si="13"/>
        <v>0</v>
      </c>
      <c r="AE166" s="233">
        <f t="shared" si="16"/>
        <v>0</v>
      </c>
      <c r="AF166" s="216">
        <f t="shared" si="17"/>
        <v>0</v>
      </c>
      <c r="AI166" s="327">
        <f t="shared" si="5"/>
        <v>0</v>
      </c>
      <c r="AJ166" s="264" t="str">
        <f>VLOOKUP(AI166,Treatments!$C$7:$J$407,2)</f>
        <v>No treatment</v>
      </c>
      <c r="AK166" s="200">
        <f t="shared" si="6"/>
        <v>0</v>
      </c>
      <c r="AL166" s="233">
        <f>VLOOKUP(AI166,Treatments!$C$7:$J$407,8)</f>
        <v>0</v>
      </c>
      <c r="AM166" s="200">
        <f t="shared" si="7"/>
        <v>0</v>
      </c>
      <c r="AN166" s="311"/>
      <c r="AO166" s="296">
        <f t="shared" si="8"/>
        <v>0</v>
      </c>
      <c r="AP166" s="233">
        <f t="shared" si="9"/>
        <v>0</v>
      </c>
      <c r="AQ166" s="216">
        <f t="shared" si="10"/>
        <v>0</v>
      </c>
      <c r="AR166" s="304"/>
    </row>
    <row r="167" spans="2:44" x14ac:dyDescent="0.25">
      <c r="B167" s="305"/>
      <c r="C167" s="264" t="str">
        <f>IF(B167&lt;=0,"",VLOOKUP(B167,Treatments!$C$7:$J$407,2))</f>
        <v/>
      </c>
      <c r="D167" s="306"/>
      <c r="E167" s="233">
        <f>VLOOKUP(B167,Treatments!$C$7:$J$407,8)</f>
        <v>0</v>
      </c>
      <c r="F167" s="305"/>
      <c r="G167" s="308"/>
      <c r="H167" s="233">
        <f t="shared" si="14"/>
        <v>0</v>
      </c>
      <c r="I167" s="216">
        <f t="shared" si="15"/>
        <v>0</v>
      </c>
      <c r="U167" s="304"/>
      <c r="Y167" s="327">
        <f t="shared" si="11"/>
        <v>0</v>
      </c>
      <c r="Z167" s="264" t="str">
        <f>VLOOKUP(Y167,Treatments!$C$7:$J$407,2)</f>
        <v>No treatment</v>
      </c>
      <c r="AA167" s="200">
        <f t="shared" si="12"/>
        <v>0</v>
      </c>
      <c r="AB167" s="233">
        <f>VLOOKUP(Y167,Treatments!$C$7:$J$407,8)</f>
        <v>0</v>
      </c>
      <c r="AC167" s="200">
        <f t="shared" si="13"/>
        <v>0</v>
      </c>
      <c r="AD167" s="296">
        <f t="shared" si="13"/>
        <v>0</v>
      </c>
      <c r="AE167" s="233">
        <f t="shared" si="16"/>
        <v>0</v>
      </c>
      <c r="AF167" s="216">
        <f t="shared" si="17"/>
        <v>0</v>
      </c>
      <c r="AR167" s="304"/>
    </row>
    <row r="168" spans="2:44" x14ac:dyDescent="0.25">
      <c r="B168" s="305"/>
      <c r="C168" s="264" t="str">
        <f>IF(B168&lt;=0,"",VLOOKUP(B168,Treatments!$C$7:$J$407,2))</f>
        <v/>
      </c>
      <c r="D168" s="306"/>
      <c r="E168" s="233">
        <f>VLOOKUP(B168,Treatments!$C$7:$J$407,8)</f>
        <v>0</v>
      </c>
      <c r="F168" s="305"/>
      <c r="G168" s="308"/>
      <c r="H168" s="233">
        <f t="shared" si="14"/>
        <v>0</v>
      </c>
      <c r="I168" s="216">
        <f t="shared" si="15"/>
        <v>0</v>
      </c>
      <c r="L168" s="379" t="s">
        <v>994</v>
      </c>
      <c r="M168" s="380" t="s">
        <v>580</v>
      </c>
      <c r="N168" s="381" t="s">
        <v>616</v>
      </c>
      <c r="O168" s="379" t="s">
        <v>619</v>
      </c>
      <c r="P168" s="382" t="s">
        <v>617</v>
      </c>
      <c r="Q168" s="379"/>
      <c r="R168" s="382" t="s">
        <v>618</v>
      </c>
      <c r="S168" s="384"/>
      <c r="T168" s="384"/>
      <c r="U168" s="304"/>
      <c r="Y168" s="327">
        <f t="shared" si="11"/>
        <v>0</v>
      </c>
      <c r="Z168" s="264" t="str">
        <f>VLOOKUP(Y168,Treatments!$C$7:$J$407,2)</f>
        <v>No treatment</v>
      </c>
      <c r="AA168" s="200">
        <f t="shared" si="12"/>
        <v>0</v>
      </c>
      <c r="AB168" s="233">
        <f>VLOOKUP(Y168,Treatments!$C$7:$J$407,8)</f>
        <v>0</v>
      </c>
      <c r="AC168" s="200">
        <f t="shared" si="13"/>
        <v>0</v>
      </c>
      <c r="AD168" s="296">
        <f t="shared" si="13"/>
        <v>0</v>
      </c>
      <c r="AE168" s="233">
        <f t="shared" si="16"/>
        <v>0</v>
      </c>
      <c r="AF168" s="216">
        <f t="shared" si="17"/>
        <v>0</v>
      </c>
      <c r="AI168" s="329" t="s">
        <v>994</v>
      </c>
      <c r="AJ168" s="313" t="s">
        <v>580</v>
      </c>
      <c r="AK168" s="314" t="s">
        <v>616</v>
      </c>
      <c r="AL168" s="312" t="s">
        <v>619</v>
      </c>
      <c r="AM168" s="304" t="s">
        <v>617</v>
      </c>
      <c r="AN168" s="312"/>
      <c r="AO168" s="304" t="s">
        <v>618</v>
      </c>
      <c r="AP168" s="315"/>
      <c r="AQ168" s="316"/>
      <c r="AR168" s="304"/>
    </row>
    <row r="169" spans="2:44" x14ac:dyDescent="0.25">
      <c r="B169" s="305"/>
      <c r="C169" s="264" t="str">
        <f>IF(B169&lt;=0,"",VLOOKUP(B169,Treatments!$C$7:$J$407,2))</f>
        <v/>
      </c>
      <c r="D169" s="306"/>
      <c r="E169" s="233">
        <f>VLOOKUP(B169,Treatments!$C$7:$J$407,8)</f>
        <v>0</v>
      </c>
      <c r="F169" s="305"/>
      <c r="G169" s="308"/>
      <c r="H169" s="233">
        <f t="shared" si="14"/>
        <v>0</v>
      </c>
      <c r="I169" s="216">
        <f t="shared" si="15"/>
        <v>0</v>
      </c>
      <c r="L169" s="305"/>
      <c r="M169" s="264" t="str">
        <f>VLOOKUP(L169,Treatments!$C$7:$J$407,2)</f>
        <v>No treatment</v>
      </c>
      <c r="N169" s="306"/>
      <c r="O169" s="233">
        <f>VLOOKUP(L169,Treatments!$C$7:$J$407,8)</f>
        <v>0</v>
      </c>
      <c r="P169" s="305"/>
      <c r="Q169" s="307"/>
      <c r="R169" s="308"/>
      <c r="S169" s="233">
        <f>N169*O169*P169*R169</f>
        <v>0</v>
      </c>
      <c r="T169" s="216">
        <f>S169*$D$3</f>
        <v>0</v>
      </c>
      <c r="U169" s="304"/>
      <c r="Y169" s="327">
        <f t="shared" si="11"/>
        <v>0</v>
      </c>
      <c r="Z169" s="264" t="str">
        <f>VLOOKUP(Y169,Treatments!$C$7:$J$407,2)</f>
        <v>No treatment</v>
      </c>
      <c r="AA169" s="200">
        <f t="shared" si="12"/>
        <v>0</v>
      </c>
      <c r="AB169" s="233">
        <f>VLOOKUP(Y169,Treatments!$C$7:$J$407,8)</f>
        <v>0</v>
      </c>
      <c r="AC169" s="200">
        <f t="shared" si="13"/>
        <v>0</v>
      </c>
      <c r="AD169" s="296">
        <f t="shared" si="13"/>
        <v>0</v>
      </c>
      <c r="AE169" s="233">
        <f t="shared" si="16"/>
        <v>0</v>
      </c>
      <c r="AF169" s="216">
        <f t="shared" si="17"/>
        <v>0</v>
      </c>
      <c r="AI169" s="327">
        <f t="shared" ref="AI169:AI180" si="18">IF(AND(L169&gt;=344,L169&lt;=358),L169+15,L169)</f>
        <v>0</v>
      </c>
      <c r="AJ169" s="264" t="str">
        <f>VLOOKUP(AI169,Treatments!$C$7:$J$407,2)</f>
        <v>No treatment</v>
      </c>
      <c r="AK169" s="200">
        <f t="shared" ref="AK169:AK180" si="19">N169</f>
        <v>0</v>
      </c>
      <c r="AL169" s="233">
        <f>VLOOKUP(AI169,Treatments!$C$7:$J$407,8)</f>
        <v>0</v>
      </c>
      <c r="AM169" s="200">
        <f t="shared" ref="AM169:AM180" si="20">P169</f>
        <v>0</v>
      </c>
      <c r="AN169" s="307"/>
      <c r="AO169" s="296">
        <f t="shared" ref="AO169:AO180" si="21">R169</f>
        <v>0</v>
      </c>
      <c r="AP169" s="233">
        <f>AK169*AL169*AM169*AO169</f>
        <v>0</v>
      </c>
      <c r="AQ169" s="216">
        <f>AP169*$D$3</f>
        <v>0</v>
      </c>
      <c r="AR169" s="304"/>
    </row>
    <row r="170" spans="2:44" x14ac:dyDescent="0.25">
      <c r="B170" s="305"/>
      <c r="C170" s="264" t="str">
        <f>IF(B170&lt;=0,"",VLOOKUP(B170,Treatments!$C$7:$J$407,2))</f>
        <v/>
      </c>
      <c r="D170" s="306"/>
      <c r="E170" s="233">
        <f>VLOOKUP(B170,Treatments!$C$7:$J$407,8)</f>
        <v>0</v>
      </c>
      <c r="F170" s="305"/>
      <c r="G170" s="308"/>
      <c r="H170" s="233">
        <f t="shared" si="14"/>
        <v>0</v>
      </c>
      <c r="I170" s="216">
        <f t="shared" si="15"/>
        <v>0</v>
      </c>
      <c r="L170" s="305"/>
      <c r="M170" s="264" t="str">
        <f>VLOOKUP(L170,Treatments!$C$7:$J$407,2)</f>
        <v>No treatment</v>
      </c>
      <c r="N170" s="306"/>
      <c r="O170" s="233">
        <f>VLOOKUP(L170,Treatments!$C$7:$J$407,8)</f>
        <v>0</v>
      </c>
      <c r="P170" s="305"/>
      <c r="Q170" s="310"/>
      <c r="R170" s="308"/>
      <c r="S170" s="233">
        <f t="shared" ref="S170:S180" si="22">N170*O170*P170*R170</f>
        <v>0</v>
      </c>
      <c r="T170" s="216">
        <f t="shared" ref="T170:T180" si="23">S170*$D$3</f>
        <v>0</v>
      </c>
      <c r="U170" s="304"/>
      <c r="Y170" s="327">
        <f t="shared" si="11"/>
        <v>0</v>
      </c>
      <c r="Z170" s="264" t="str">
        <f>VLOOKUP(Y170,Treatments!$C$7:$J$407,2)</f>
        <v>No treatment</v>
      </c>
      <c r="AA170" s="200">
        <f t="shared" si="12"/>
        <v>0</v>
      </c>
      <c r="AB170" s="233">
        <f>VLOOKUP(Y170,Treatments!$C$7:$J$407,8)</f>
        <v>0</v>
      </c>
      <c r="AC170" s="200">
        <f t="shared" si="13"/>
        <v>0</v>
      </c>
      <c r="AD170" s="296">
        <f t="shared" si="13"/>
        <v>0</v>
      </c>
      <c r="AE170" s="233">
        <f t="shared" si="16"/>
        <v>0</v>
      </c>
      <c r="AF170" s="216">
        <f t="shared" si="17"/>
        <v>0</v>
      </c>
      <c r="AI170" s="327">
        <f t="shared" si="18"/>
        <v>0</v>
      </c>
      <c r="AJ170" s="264" t="str">
        <f>VLOOKUP(AI170,Treatments!$C$7:$J$407,2)</f>
        <v>No treatment</v>
      </c>
      <c r="AK170" s="200">
        <f t="shared" si="19"/>
        <v>0</v>
      </c>
      <c r="AL170" s="233">
        <f>VLOOKUP(AI170,Treatments!$C$7:$J$407,8)</f>
        <v>0</v>
      </c>
      <c r="AM170" s="200">
        <f t="shared" si="20"/>
        <v>0</v>
      </c>
      <c r="AN170" s="310"/>
      <c r="AO170" s="296">
        <f t="shared" si="21"/>
        <v>0</v>
      </c>
      <c r="AP170" s="233">
        <f t="shared" ref="AP170:AP180" si="24">AK170*AL170*AM170*AO170</f>
        <v>0</v>
      </c>
      <c r="AQ170" s="216">
        <f t="shared" ref="AQ170:AQ180" si="25">AP170*$D$3</f>
        <v>0</v>
      </c>
      <c r="AR170" s="304"/>
    </row>
    <row r="171" spans="2:44" x14ac:dyDescent="0.25">
      <c r="B171" s="305"/>
      <c r="C171" s="264" t="str">
        <f>IF(B171&lt;=0,"",VLOOKUP(B171,Treatments!$C$7:$J$407,2))</f>
        <v/>
      </c>
      <c r="D171" s="306"/>
      <c r="E171" s="233">
        <f>VLOOKUP(B171,Treatments!$C$7:$J$407,8)</f>
        <v>0</v>
      </c>
      <c r="F171" s="305"/>
      <c r="G171" s="308"/>
      <c r="H171" s="233">
        <f t="shared" si="14"/>
        <v>0</v>
      </c>
      <c r="I171" s="216">
        <f t="shared" si="15"/>
        <v>0</v>
      </c>
      <c r="L171" s="305"/>
      <c r="M171" s="264" t="str">
        <f>VLOOKUP(L171,Treatments!$C$7:$J$407,2)</f>
        <v>No treatment</v>
      </c>
      <c r="N171" s="306"/>
      <c r="O171" s="233">
        <f>VLOOKUP(L171,Treatments!$C$7:$J$407,8)</f>
        <v>0</v>
      </c>
      <c r="P171" s="305"/>
      <c r="Q171" s="310"/>
      <c r="R171" s="308"/>
      <c r="S171" s="233">
        <f t="shared" si="22"/>
        <v>0</v>
      </c>
      <c r="T171" s="216">
        <f t="shared" si="23"/>
        <v>0</v>
      </c>
      <c r="U171" s="304"/>
      <c r="Y171" s="327">
        <f t="shared" si="11"/>
        <v>0</v>
      </c>
      <c r="Z171" s="264" t="str">
        <f>VLOOKUP(Y171,Treatments!$C$7:$J$407,2)</f>
        <v>No treatment</v>
      </c>
      <c r="AA171" s="200">
        <f t="shared" si="12"/>
        <v>0</v>
      </c>
      <c r="AB171" s="233">
        <f>VLOOKUP(Y171,Treatments!$C$7:$J$407,8)</f>
        <v>0</v>
      </c>
      <c r="AC171" s="200">
        <f t="shared" si="13"/>
        <v>0</v>
      </c>
      <c r="AD171" s="296">
        <f t="shared" si="13"/>
        <v>0</v>
      </c>
      <c r="AE171" s="233">
        <f t="shared" si="16"/>
        <v>0</v>
      </c>
      <c r="AF171" s="216">
        <f t="shared" si="17"/>
        <v>0</v>
      </c>
      <c r="AI171" s="327">
        <f t="shared" si="18"/>
        <v>0</v>
      </c>
      <c r="AJ171" s="264" t="str">
        <f>VLOOKUP(AI171,Treatments!$C$7:$J$407,2)</f>
        <v>No treatment</v>
      </c>
      <c r="AK171" s="200">
        <f t="shared" si="19"/>
        <v>0</v>
      </c>
      <c r="AL171" s="233">
        <f>VLOOKUP(AI171,Treatments!$C$7:$J$407,8)</f>
        <v>0</v>
      </c>
      <c r="AM171" s="200">
        <f t="shared" si="20"/>
        <v>0</v>
      </c>
      <c r="AN171" s="310"/>
      <c r="AO171" s="296">
        <f t="shared" si="21"/>
        <v>0</v>
      </c>
      <c r="AP171" s="233">
        <f t="shared" si="24"/>
        <v>0</v>
      </c>
      <c r="AQ171" s="216">
        <f t="shared" si="25"/>
        <v>0</v>
      </c>
      <c r="AR171" s="304"/>
    </row>
    <row r="172" spans="2:44" x14ac:dyDescent="0.25">
      <c r="B172" s="305"/>
      <c r="C172" s="264" t="str">
        <f>IF(B172&lt;=0,"",VLOOKUP(B172,Treatments!$C$7:$J$407,2))</f>
        <v/>
      </c>
      <c r="D172" s="306"/>
      <c r="E172" s="233">
        <f>VLOOKUP(B172,Treatments!$C$7:$J$407,8)</f>
        <v>0</v>
      </c>
      <c r="F172" s="305"/>
      <c r="G172" s="308"/>
      <c r="H172" s="233">
        <f t="shared" si="14"/>
        <v>0</v>
      </c>
      <c r="I172" s="216">
        <f t="shared" si="15"/>
        <v>0</v>
      </c>
      <c r="L172" s="305"/>
      <c r="M172" s="264" t="str">
        <f>VLOOKUP(L172,Treatments!$C$7:$J$407,2)</f>
        <v>No treatment</v>
      </c>
      <c r="N172" s="306"/>
      <c r="O172" s="233">
        <f>VLOOKUP(L172,Treatments!$C$7:$J$407,8)</f>
        <v>0</v>
      </c>
      <c r="P172" s="305"/>
      <c r="Q172" s="310"/>
      <c r="R172" s="308"/>
      <c r="S172" s="233">
        <f t="shared" si="22"/>
        <v>0</v>
      </c>
      <c r="T172" s="216">
        <f t="shared" si="23"/>
        <v>0</v>
      </c>
      <c r="U172" s="304"/>
      <c r="Y172" s="327">
        <f t="shared" si="11"/>
        <v>0</v>
      </c>
      <c r="Z172" s="264" t="str">
        <f>VLOOKUP(Y172,Treatments!$C$7:$J$407,2)</f>
        <v>No treatment</v>
      </c>
      <c r="AA172" s="200">
        <f t="shared" si="12"/>
        <v>0</v>
      </c>
      <c r="AB172" s="233">
        <f>VLOOKUP(Y172,Treatments!$C$7:$J$407,8)</f>
        <v>0</v>
      </c>
      <c r="AC172" s="200">
        <f t="shared" si="13"/>
        <v>0</v>
      </c>
      <c r="AD172" s="296">
        <f t="shared" si="13"/>
        <v>0</v>
      </c>
      <c r="AE172" s="233">
        <f t="shared" si="16"/>
        <v>0</v>
      </c>
      <c r="AF172" s="216">
        <f t="shared" si="17"/>
        <v>0</v>
      </c>
      <c r="AI172" s="327">
        <f t="shared" si="18"/>
        <v>0</v>
      </c>
      <c r="AJ172" s="264" t="str">
        <f>VLOOKUP(AI172,Treatments!$C$7:$J$407,2)</f>
        <v>No treatment</v>
      </c>
      <c r="AK172" s="200">
        <f t="shared" si="19"/>
        <v>0</v>
      </c>
      <c r="AL172" s="233">
        <f>VLOOKUP(AI172,Treatments!$C$7:$J$407,8)</f>
        <v>0</v>
      </c>
      <c r="AM172" s="200">
        <f t="shared" si="20"/>
        <v>0</v>
      </c>
      <c r="AN172" s="310"/>
      <c r="AO172" s="296">
        <f t="shared" si="21"/>
        <v>0</v>
      </c>
      <c r="AP172" s="233">
        <f t="shared" si="24"/>
        <v>0</v>
      </c>
      <c r="AQ172" s="216">
        <f t="shared" si="25"/>
        <v>0</v>
      </c>
      <c r="AR172" s="304"/>
    </row>
    <row r="173" spans="2:44" x14ac:dyDescent="0.25">
      <c r="B173" s="305"/>
      <c r="C173" s="264" t="str">
        <f>IF(B173&lt;=0,"",VLOOKUP(B173,Treatments!$C$7:$J$407,2))</f>
        <v/>
      </c>
      <c r="D173" s="306"/>
      <c r="E173" s="233">
        <f>VLOOKUP(B173,Treatments!$C$7:$J$407,8)</f>
        <v>0</v>
      </c>
      <c r="F173" s="305"/>
      <c r="G173" s="308"/>
      <c r="H173" s="233">
        <f t="shared" si="14"/>
        <v>0</v>
      </c>
      <c r="I173" s="216">
        <f t="shared" si="15"/>
        <v>0</v>
      </c>
      <c r="L173" s="305"/>
      <c r="M173" s="264" t="str">
        <f>VLOOKUP(L173,Treatments!$C$7:$J$407,2)</f>
        <v>No treatment</v>
      </c>
      <c r="N173" s="306"/>
      <c r="O173" s="233">
        <f>VLOOKUP(L173,Treatments!$C$7:$J$407,8)</f>
        <v>0</v>
      </c>
      <c r="P173" s="305"/>
      <c r="Q173" s="310"/>
      <c r="R173" s="308"/>
      <c r="S173" s="233">
        <f t="shared" si="22"/>
        <v>0</v>
      </c>
      <c r="T173" s="216">
        <f t="shared" si="23"/>
        <v>0</v>
      </c>
      <c r="U173" s="304"/>
      <c r="Y173" s="327">
        <f t="shared" si="11"/>
        <v>0</v>
      </c>
      <c r="Z173" s="264" t="str">
        <f>VLOOKUP(Y173,Treatments!$C$7:$J$407,2)</f>
        <v>No treatment</v>
      </c>
      <c r="AA173" s="200">
        <f t="shared" si="12"/>
        <v>0</v>
      </c>
      <c r="AB173" s="233">
        <f>VLOOKUP(Y173,Treatments!$C$7:$J$407,8)</f>
        <v>0</v>
      </c>
      <c r="AC173" s="200">
        <f t="shared" si="13"/>
        <v>0</v>
      </c>
      <c r="AD173" s="296">
        <f t="shared" si="13"/>
        <v>0</v>
      </c>
      <c r="AE173" s="233">
        <f t="shared" si="16"/>
        <v>0</v>
      </c>
      <c r="AF173" s="216">
        <f t="shared" si="17"/>
        <v>0</v>
      </c>
      <c r="AI173" s="327">
        <f t="shared" si="18"/>
        <v>0</v>
      </c>
      <c r="AJ173" s="264" t="str">
        <f>VLOOKUP(AI173,Treatments!$C$7:$J$407,2)</f>
        <v>No treatment</v>
      </c>
      <c r="AK173" s="200">
        <f t="shared" si="19"/>
        <v>0</v>
      </c>
      <c r="AL173" s="233">
        <f>VLOOKUP(AI173,Treatments!$C$7:$J$407,8)</f>
        <v>0</v>
      </c>
      <c r="AM173" s="200">
        <f t="shared" si="20"/>
        <v>0</v>
      </c>
      <c r="AN173" s="310"/>
      <c r="AO173" s="296">
        <f t="shared" si="21"/>
        <v>0</v>
      </c>
      <c r="AP173" s="233">
        <f t="shared" si="24"/>
        <v>0</v>
      </c>
      <c r="AQ173" s="216">
        <f t="shared" si="25"/>
        <v>0</v>
      </c>
      <c r="AR173" s="304"/>
    </row>
    <row r="174" spans="2:44" x14ac:dyDescent="0.25">
      <c r="B174" s="305"/>
      <c r="C174" s="264" t="str">
        <f>IF(B174&lt;=0,"",VLOOKUP(B174,Treatments!$C$7:$J$407,2))</f>
        <v/>
      </c>
      <c r="D174" s="306"/>
      <c r="E174" s="233">
        <f>VLOOKUP(B174,Treatments!$C$7:$J$407,8)</f>
        <v>0</v>
      </c>
      <c r="F174" s="305"/>
      <c r="G174" s="308"/>
      <c r="H174" s="233">
        <f>D174*E174*F174*G174</f>
        <v>0</v>
      </c>
      <c r="I174" s="216">
        <f>H174*$D$3</f>
        <v>0</v>
      </c>
      <c r="L174" s="305"/>
      <c r="M174" s="264" t="str">
        <f>VLOOKUP(L174,Treatments!$C$7:$J$407,2)</f>
        <v>No treatment</v>
      </c>
      <c r="N174" s="306"/>
      <c r="O174" s="233">
        <f>VLOOKUP(L174,Treatments!$C$7:$J$407,8)</f>
        <v>0</v>
      </c>
      <c r="P174" s="305"/>
      <c r="Q174" s="310"/>
      <c r="R174" s="308"/>
      <c r="S174" s="233">
        <f t="shared" si="22"/>
        <v>0</v>
      </c>
      <c r="T174" s="216">
        <f t="shared" si="23"/>
        <v>0</v>
      </c>
      <c r="U174" s="304"/>
      <c r="Y174" s="327">
        <f t="shared" si="11"/>
        <v>0</v>
      </c>
      <c r="Z174" s="264" t="str">
        <f>VLOOKUP(Y174,Treatments!$C$7:$J$407,2)</f>
        <v>No treatment</v>
      </c>
      <c r="AA174" s="200">
        <f t="shared" si="12"/>
        <v>0</v>
      </c>
      <c r="AB174" s="233">
        <f>VLOOKUP(Y174,Treatments!$C$7:$J$407,8)</f>
        <v>0</v>
      </c>
      <c r="AC174" s="200">
        <f t="shared" si="13"/>
        <v>0</v>
      </c>
      <c r="AD174" s="296">
        <f t="shared" si="13"/>
        <v>0</v>
      </c>
      <c r="AE174" s="233">
        <f>AA174*AB174*AC174*AD174</f>
        <v>0</v>
      </c>
      <c r="AF174" s="216">
        <f>AE174*$D$3</f>
        <v>0</v>
      </c>
      <c r="AI174" s="327">
        <f t="shared" si="18"/>
        <v>0</v>
      </c>
      <c r="AJ174" s="264" t="str">
        <f>VLOOKUP(AI174,Treatments!$C$7:$J$407,2)</f>
        <v>No treatment</v>
      </c>
      <c r="AK174" s="200">
        <f t="shared" si="19"/>
        <v>0</v>
      </c>
      <c r="AL174" s="233">
        <f>VLOOKUP(AI174,Treatments!$C$7:$J$407,8)</f>
        <v>0</v>
      </c>
      <c r="AM174" s="200">
        <f t="shared" si="20"/>
        <v>0</v>
      </c>
      <c r="AN174" s="310"/>
      <c r="AO174" s="296">
        <f t="shared" si="21"/>
        <v>0</v>
      </c>
      <c r="AP174" s="233">
        <f t="shared" si="24"/>
        <v>0</v>
      </c>
      <c r="AQ174" s="216">
        <f t="shared" si="25"/>
        <v>0</v>
      </c>
      <c r="AR174" s="304"/>
    </row>
    <row r="175" spans="2:44" x14ac:dyDescent="0.25">
      <c r="B175" s="305"/>
      <c r="C175" s="264" t="str">
        <f>IF(B175&lt;=0,"",VLOOKUP(B175,Treatments!$C$7:$J$407,2))</f>
        <v/>
      </c>
      <c r="D175" s="306"/>
      <c r="E175" s="233">
        <f>VLOOKUP(B175,Treatments!$C$7:$J$407,8)</f>
        <v>0</v>
      </c>
      <c r="F175" s="305"/>
      <c r="G175" s="308"/>
      <c r="H175" s="233">
        <f>D175*E175*F175*G175</f>
        <v>0</v>
      </c>
      <c r="I175" s="216">
        <f>H175*$D$3</f>
        <v>0</v>
      </c>
      <c r="L175" s="305"/>
      <c r="M175" s="264" t="str">
        <f>VLOOKUP(L175,Treatments!$C$7:$J$407,2)</f>
        <v>No treatment</v>
      </c>
      <c r="N175" s="306"/>
      <c r="O175" s="233">
        <f>VLOOKUP(L175,Treatments!$C$7:$J$407,8)</f>
        <v>0</v>
      </c>
      <c r="P175" s="305"/>
      <c r="Q175" s="310"/>
      <c r="R175" s="308"/>
      <c r="S175" s="233">
        <f t="shared" si="22"/>
        <v>0</v>
      </c>
      <c r="T175" s="216">
        <f t="shared" si="23"/>
        <v>0</v>
      </c>
      <c r="U175" s="304"/>
      <c r="Y175" s="327">
        <f t="shared" si="11"/>
        <v>0</v>
      </c>
      <c r="Z175" s="264" t="str">
        <f>VLOOKUP(Y175,Treatments!$C$7:$J$407,2)</f>
        <v>No treatment</v>
      </c>
      <c r="AA175" s="200">
        <f t="shared" si="12"/>
        <v>0</v>
      </c>
      <c r="AB175" s="233">
        <f>VLOOKUP(Y175,Treatments!$C$7:$J$407,8)</f>
        <v>0</v>
      </c>
      <c r="AC175" s="200">
        <f t="shared" si="13"/>
        <v>0</v>
      </c>
      <c r="AD175" s="296">
        <f t="shared" si="13"/>
        <v>0</v>
      </c>
      <c r="AE175" s="233">
        <f>AA175*AB175*AC175*AD175</f>
        <v>0</v>
      </c>
      <c r="AF175" s="216">
        <f>AE175*$D$3</f>
        <v>0</v>
      </c>
      <c r="AI175" s="327">
        <f t="shared" si="18"/>
        <v>0</v>
      </c>
      <c r="AJ175" s="264" t="str">
        <f>VLOOKUP(AI175,Treatments!$C$7:$J$407,2)</f>
        <v>No treatment</v>
      </c>
      <c r="AK175" s="200">
        <f t="shared" si="19"/>
        <v>0</v>
      </c>
      <c r="AL175" s="233">
        <f>VLOOKUP(AI175,Treatments!$C$7:$J$407,8)</f>
        <v>0</v>
      </c>
      <c r="AM175" s="200">
        <f t="shared" si="20"/>
        <v>0</v>
      </c>
      <c r="AN175" s="310"/>
      <c r="AO175" s="296">
        <f t="shared" si="21"/>
        <v>0</v>
      </c>
      <c r="AP175" s="233">
        <f t="shared" si="24"/>
        <v>0</v>
      </c>
      <c r="AQ175" s="216">
        <f t="shared" si="25"/>
        <v>0</v>
      </c>
      <c r="AR175" s="304"/>
    </row>
    <row r="176" spans="2:44" x14ac:dyDescent="0.25">
      <c r="B176" s="304"/>
      <c r="C176" s="304"/>
      <c r="D176" s="304"/>
      <c r="E176" s="304"/>
      <c r="F176" s="304"/>
      <c r="G176" s="312"/>
      <c r="H176" s="304"/>
      <c r="I176" s="304"/>
      <c r="L176" s="305"/>
      <c r="M176" s="264" t="str">
        <f>VLOOKUP(L176,Treatments!$C$7:$J$407,2)</f>
        <v>No treatment</v>
      </c>
      <c r="N176" s="306"/>
      <c r="O176" s="233">
        <f>VLOOKUP(L176,Treatments!$C$7:$J$407,8)</f>
        <v>0</v>
      </c>
      <c r="P176" s="305"/>
      <c r="Q176" s="310"/>
      <c r="R176" s="308"/>
      <c r="S176" s="233">
        <f t="shared" si="22"/>
        <v>0</v>
      </c>
      <c r="T176" s="216">
        <f t="shared" si="23"/>
        <v>0</v>
      </c>
      <c r="U176" s="304"/>
      <c r="Y176" s="304"/>
      <c r="Z176" s="304"/>
      <c r="AA176" s="304"/>
      <c r="AB176" s="304"/>
      <c r="AC176" s="304"/>
      <c r="AD176" s="312"/>
      <c r="AE176" s="304"/>
      <c r="AF176" s="304"/>
      <c r="AI176" s="327">
        <f t="shared" si="18"/>
        <v>0</v>
      </c>
      <c r="AJ176" s="264" t="str">
        <f>VLOOKUP(AI176,Treatments!$C$7:$J$407,2)</f>
        <v>No treatment</v>
      </c>
      <c r="AK176" s="200">
        <f t="shared" si="19"/>
        <v>0</v>
      </c>
      <c r="AL176" s="233">
        <f>VLOOKUP(AI176,Treatments!$C$7:$J$407,8)</f>
        <v>0</v>
      </c>
      <c r="AM176" s="200">
        <f t="shared" si="20"/>
        <v>0</v>
      </c>
      <c r="AN176" s="310"/>
      <c r="AO176" s="296">
        <f t="shared" si="21"/>
        <v>0</v>
      </c>
      <c r="AP176" s="233">
        <f t="shared" si="24"/>
        <v>0</v>
      </c>
      <c r="AQ176" s="216">
        <f t="shared" si="25"/>
        <v>0</v>
      </c>
      <c r="AR176" s="304"/>
    </row>
    <row r="177" spans="2:44" x14ac:dyDescent="0.25">
      <c r="B177" s="385" t="s">
        <v>994</v>
      </c>
      <c r="C177" s="386" t="s">
        <v>580</v>
      </c>
      <c r="D177" s="387" t="s">
        <v>616</v>
      </c>
      <c r="E177" s="385" t="s">
        <v>619</v>
      </c>
      <c r="F177" s="388" t="s">
        <v>617</v>
      </c>
      <c r="G177" s="388" t="s">
        <v>618</v>
      </c>
      <c r="H177" s="389"/>
      <c r="I177" s="390"/>
      <c r="L177" s="305"/>
      <c r="M177" s="264" t="str">
        <f>VLOOKUP(L177,Treatments!$C$7:$J$407,2)</f>
        <v>No treatment</v>
      </c>
      <c r="N177" s="306"/>
      <c r="O177" s="233">
        <f>VLOOKUP(L177,Treatments!$C$7:$J$407,8)</f>
        <v>0</v>
      </c>
      <c r="P177" s="305"/>
      <c r="Q177" s="310"/>
      <c r="R177" s="308"/>
      <c r="S177" s="233">
        <f t="shared" si="22"/>
        <v>0</v>
      </c>
      <c r="T177" s="216">
        <f t="shared" si="23"/>
        <v>0</v>
      </c>
      <c r="U177" s="304"/>
      <c r="Y177" s="312" t="s">
        <v>994</v>
      </c>
      <c r="Z177" s="313" t="s">
        <v>580</v>
      </c>
      <c r="AA177" s="314" t="s">
        <v>616</v>
      </c>
      <c r="AB177" s="312" t="s">
        <v>619</v>
      </c>
      <c r="AC177" s="304" t="s">
        <v>617</v>
      </c>
      <c r="AD177" s="304" t="s">
        <v>618</v>
      </c>
      <c r="AE177" s="315"/>
      <c r="AF177" s="316"/>
      <c r="AI177" s="327">
        <f t="shared" si="18"/>
        <v>0</v>
      </c>
      <c r="AJ177" s="264" t="str">
        <f>VLOOKUP(AI177,Treatments!$C$7:$J$407,2)</f>
        <v>No treatment</v>
      </c>
      <c r="AK177" s="200">
        <f t="shared" si="19"/>
        <v>0</v>
      </c>
      <c r="AL177" s="233">
        <f>VLOOKUP(AI177,Treatments!$C$7:$J$407,8)</f>
        <v>0</v>
      </c>
      <c r="AM177" s="200">
        <f t="shared" si="20"/>
        <v>0</v>
      </c>
      <c r="AN177" s="310"/>
      <c r="AO177" s="296">
        <f t="shared" si="21"/>
        <v>0</v>
      </c>
      <c r="AP177" s="233">
        <f t="shared" si="24"/>
        <v>0</v>
      </c>
      <c r="AQ177" s="216">
        <f t="shared" si="25"/>
        <v>0</v>
      </c>
      <c r="AR177" s="304"/>
    </row>
    <row r="178" spans="2:44" x14ac:dyDescent="0.25">
      <c r="B178" s="305"/>
      <c r="C178" s="264" t="str">
        <f>IF(B178&lt;=0,"",VLOOKUP(B178,Treatments!$C$7:$J$407,2))</f>
        <v/>
      </c>
      <c r="D178" s="306"/>
      <c r="E178" s="233">
        <f>VLOOKUP(B178,Treatments!$C$7:$J$407,8)</f>
        <v>0</v>
      </c>
      <c r="F178" s="305"/>
      <c r="G178" s="308"/>
      <c r="H178" s="233">
        <f t="shared" ref="H178:H189" si="26">D178*E178*F178*G178</f>
        <v>0</v>
      </c>
      <c r="I178" s="216">
        <f>H178*$D$3</f>
        <v>0</v>
      </c>
      <c r="L178" s="305"/>
      <c r="M178" s="264" t="str">
        <f>VLOOKUP(L178,Treatments!$C$7:$J$407,2)</f>
        <v>No treatment</v>
      </c>
      <c r="N178" s="306"/>
      <c r="O178" s="233">
        <f>VLOOKUP(L178,Treatments!$C$7:$J$407,8)</f>
        <v>0</v>
      </c>
      <c r="P178" s="305"/>
      <c r="Q178" s="310"/>
      <c r="R178" s="308"/>
      <c r="S178" s="233">
        <f t="shared" si="22"/>
        <v>0</v>
      </c>
      <c r="T178" s="216">
        <f t="shared" si="23"/>
        <v>0</v>
      </c>
      <c r="U178" s="304"/>
      <c r="Y178" s="327">
        <f>IF(AND(B178&gt;=344,B178&lt;=358),B178+15,B178)</f>
        <v>0</v>
      </c>
      <c r="Z178" s="264" t="str">
        <f>VLOOKUP(Y178,Treatments!$C$7:$J$407,2)</f>
        <v>No treatment</v>
      </c>
      <c r="AA178" s="200">
        <f t="shared" ref="AA178:AA189" si="27">D178</f>
        <v>0</v>
      </c>
      <c r="AB178" s="233">
        <f>VLOOKUP(Y178,Treatments!$C$7:$J$407,8)</f>
        <v>0</v>
      </c>
      <c r="AC178" s="200">
        <f t="shared" ref="AC178:AD189" si="28">F178</f>
        <v>0</v>
      </c>
      <c r="AD178" s="296">
        <f t="shared" si="28"/>
        <v>0</v>
      </c>
      <c r="AE178" s="233">
        <f t="shared" ref="AE178:AE189" si="29">AA178*AB178*AC178*AD178</f>
        <v>0</v>
      </c>
      <c r="AF178" s="216">
        <f>AE178*$D$3</f>
        <v>0</v>
      </c>
      <c r="AI178" s="327">
        <f t="shared" si="18"/>
        <v>0</v>
      </c>
      <c r="AJ178" s="264" t="str">
        <f>VLOOKUP(AI178,Treatments!$C$7:$J$407,2)</f>
        <v>No treatment</v>
      </c>
      <c r="AK178" s="200">
        <f t="shared" si="19"/>
        <v>0</v>
      </c>
      <c r="AL178" s="233">
        <f>VLOOKUP(AI178,Treatments!$C$7:$J$407,8)</f>
        <v>0</v>
      </c>
      <c r="AM178" s="200">
        <f t="shared" si="20"/>
        <v>0</v>
      </c>
      <c r="AN178" s="310"/>
      <c r="AO178" s="296">
        <f t="shared" si="21"/>
        <v>0</v>
      </c>
      <c r="AP178" s="233">
        <f t="shared" si="24"/>
        <v>0</v>
      </c>
      <c r="AQ178" s="216">
        <f t="shared" si="25"/>
        <v>0</v>
      </c>
      <c r="AR178" s="304"/>
    </row>
    <row r="179" spans="2:44" x14ac:dyDescent="0.25">
      <c r="B179" s="305"/>
      <c r="C179" s="264" t="str">
        <f>IF(B179&lt;=0,"",VLOOKUP(B179,Treatments!$C$7:$J$407,2))</f>
        <v/>
      </c>
      <c r="D179" s="306"/>
      <c r="E179" s="233">
        <f>VLOOKUP(B179,Treatments!$C$7:$J$407,8)</f>
        <v>0</v>
      </c>
      <c r="F179" s="305"/>
      <c r="G179" s="308"/>
      <c r="H179" s="233">
        <f t="shared" si="26"/>
        <v>0</v>
      </c>
      <c r="I179" s="216">
        <f t="shared" ref="I179:I189" si="30">H179*$D$3</f>
        <v>0</v>
      </c>
      <c r="L179" s="305"/>
      <c r="M179" s="264" t="str">
        <f>VLOOKUP(L179,Treatments!$C$7:$J$407,2)</f>
        <v>No treatment</v>
      </c>
      <c r="N179" s="306"/>
      <c r="O179" s="233">
        <f>VLOOKUP(L179,Treatments!$C$7:$J$407,8)</f>
        <v>0</v>
      </c>
      <c r="P179" s="305"/>
      <c r="Q179" s="310"/>
      <c r="R179" s="308"/>
      <c r="S179" s="233">
        <f t="shared" si="22"/>
        <v>0</v>
      </c>
      <c r="T179" s="216">
        <f t="shared" si="23"/>
        <v>0</v>
      </c>
      <c r="U179" s="304"/>
      <c r="Y179" s="327">
        <f t="shared" ref="Y179:Y189" si="31">IF(AND(B179&gt;=344,B179&lt;=358),B179+15,B179)</f>
        <v>0</v>
      </c>
      <c r="Z179" s="264" t="str">
        <f>VLOOKUP(Y179,Treatments!$C$7:$J$407,2)</f>
        <v>No treatment</v>
      </c>
      <c r="AA179" s="200">
        <f t="shared" si="27"/>
        <v>0</v>
      </c>
      <c r="AB179" s="233">
        <f>VLOOKUP(Y179,Treatments!$C$7:$J$407,8)</f>
        <v>0</v>
      </c>
      <c r="AC179" s="200">
        <f t="shared" si="28"/>
        <v>0</v>
      </c>
      <c r="AD179" s="296">
        <f t="shared" si="28"/>
        <v>0</v>
      </c>
      <c r="AE179" s="233">
        <f t="shared" si="29"/>
        <v>0</v>
      </c>
      <c r="AF179" s="216">
        <f t="shared" ref="AF179:AF189" si="32">AE179*$D$3</f>
        <v>0</v>
      </c>
      <c r="AI179" s="327">
        <f t="shared" si="18"/>
        <v>0</v>
      </c>
      <c r="AJ179" s="264" t="str">
        <f>VLOOKUP(AI179,Treatments!$C$7:$J$407,2)</f>
        <v>No treatment</v>
      </c>
      <c r="AK179" s="200">
        <f t="shared" si="19"/>
        <v>0</v>
      </c>
      <c r="AL179" s="233">
        <f>VLOOKUP(AI179,Treatments!$C$7:$J$407,8)</f>
        <v>0</v>
      </c>
      <c r="AM179" s="200">
        <f t="shared" si="20"/>
        <v>0</v>
      </c>
      <c r="AN179" s="310"/>
      <c r="AO179" s="296">
        <f t="shared" si="21"/>
        <v>0</v>
      </c>
      <c r="AP179" s="233">
        <f t="shared" si="24"/>
        <v>0</v>
      </c>
      <c r="AQ179" s="216">
        <f t="shared" si="25"/>
        <v>0</v>
      </c>
      <c r="AR179" s="304"/>
    </row>
    <row r="180" spans="2:44" x14ac:dyDescent="0.25">
      <c r="B180" s="305"/>
      <c r="C180" s="264" t="str">
        <f>IF(B180&lt;=0,"",VLOOKUP(B180,Treatments!$C$7:$J$407,2))</f>
        <v/>
      </c>
      <c r="D180" s="306"/>
      <c r="E180" s="233">
        <f>VLOOKUP(B180,Treatments!$C$7:$J$407,8)</f>
        <v>0</v>
      </c>
      <c r="F180" s="305"/>
      <c r="G180" s="308"/>
      <c r="H180" s="233">
        <f t="shared" si="26"/>
        <v>0</v>
      </c>
      <c r="I180" s="216">
        <f t="shared" si="30"/>
        <v>0</v>
      </c>
      <c r="L180" s="305"/>
      <c r="M180" s="264" t="str">
        <f>VLOOKUP(L180,Treatments!$C$7:$J$407,2)</f>
        <v>No treatment</v>
      </c>
      <c r="N180" s="306"/>
      <c r="O180" s="233">
        <f>VLOOKUP(L180,Treatments!$C$7:$J$407,8)</f>
        <v>0</v>
      </c>
      <c r="P180" s="305"/>
      <c r="Q180" s="311"/>
      <c r="R180" s="308"/>
      <c r="S180" s="233">
        <f t="shared" si="22"/>
        <v>0</v>
      </c>
      <c r="T180" s="216">
        <f t="shared" si="23"/>
        <v>0</v>
      </c>
      <c r="U180" s="304"/>
      <c r="Y180" s="327">
        <f t="shared" si="31"/>
        <v>0</v>
      </c>
      <c r="Z180" s="264" t="str">
        <f>VLOOKUP(Y180,Treatments!$C$7:$J$407,2)</f>
        <v>No treatment</v>
      </c>
      <c r="AA180" s="200">
        <f t="shared" si="27"/>
        <v>0</v>
      </c>
      <c r="AB180" s="233">
        <f>VLOOKUP(Y180,Treatments!$C$7:$J$407,8)</f>
        <v>0</v>
      </c>
      <c r="AC180" s="200">
        <f t="shared" si="28"/>
        <v>0</v>
      </c>
      <c r="AD180" s="296">
        <f t="shared" si="28"/>
        <v>0</v>
      </c>
      <c r="AE180" s="233">
        <f t="shared" si="29"/>
        <v>0</v>
      </c>
      <c r="AF180" s="216">
        <f t="shared" si="32"/>
        <v>0</v>
      </c>
      <c r="AI180" s="327">
        <f t="shared" si="18"/>
        <v>0</v>
      </c>
      <c r="AJ180" s="264" t="str">
        <f>VLOOKUP(AI180,Treatments!$C$7:$J$407,2)</f>
        <v>No treatment</v>
      </c>
      <c r="AK180" s="200">
        <f t="shared" si="19"/>
        <v>0</v>
      </c>
      <c r="AL180" s="233">
        <f>VLOOKUP(AI180,Treatments!$C$7:$J$407,8)</f>
        <v>0</v>
      </c>
      <c r="AM180" s="200">
        <f t="shared" si="20"/>
        <v>0</v>
      </c>
      <c r="AN180" s="311"/>
      <c r="AO180" s="296">
        <f t="shared" si="21"/>
        <v>0</v>
      </c>
      <c r="AP180" s="233">
        <f t="shared" si="24"/>
        <v>0</v>
      </c>
      <c r="AQ180" s="216">
        <f t="shared" si="25"/>
        <v>0</v>
      </c>
      <c r="AR180" s="304"/>
    </row>
    <row r="181" spans="2:44" x14ac:dyDescent="0.25">
      <c r="B181" s="305"/>
      <c r="C181" s="264" t="str">
        <f>IF(B181&lt;=0,"",VLOOKUP(B181,Treatments!$C$7:$J$407,2))</f>
        <v/>
      </c>
      <c r="D181" s="306"/>
      <c r="E181" s="233">
        <f>VLOOKUP(B181,Treatments!$C$7:$J$407,8)</f>
        <v>0</v>
      </c>
      <c r="F181" s="305"/>
      <c r="G181" s="308"/>
      <c r="H181" s="233">
        <f t="shared" si="26"/>
        <v>0</v>
      </c>
      <c r="I181" s="216">
        <f t="shared" si="30"/>
        <v>0</v>
      </c>
      <c r="L181" s="304"/>
      <c r="M181" s="304"/>
      <c r="N181" s="304"/>
      <c r="O181" s="304"/>
      <c r="P181" s="304"/>
      <c r="Q181" s="304"/>
      <c r="R181" s="312"/>
      <c r="S181" s="304"/>
      <c r="T181" s="304"/>
      <c r="U181" s="304"/>
      <c r="Y181" s="327">
        <f t="shared" si="31"/>
        <v>0</v>
      </c>
      <c r="Z181" s="264" t="str">
        <f>VLOOKUP(Y181,Treatments!$C$7:$J$407,2)</f>
        <v>No treatment</v>
      </c>
      <c r="AA181" s="200">
        <f t="shared" si="27"/>
        <v>0</v>
      </c>
      <c r="AB181" s="233">
        <f>VLOOKUP(Y181,Treatments!$C$7:$J$407,8)</f>
        <v>0</v>
      </c>
      <c r="AC181" s="200">
        <f t="shared" si="28"/>
        <v>0</v>
      </c>
      <c r="AD181" s="296">
        <f t="shared" si="28"/>
        <v>0</v>
      </c>
      <c r="AE181" s="233">
        <f t="shared" si="29"/>
        <v>0</v>
      </c>
      <c r="AF181" s="216">
        <f t="shared" si="32"/>
        <v>0</v>
      </c>
      <c r="AI181" s="328"/>
      <c r="AJ181" s="304"/>
      <c r="AK181" s="304"/>
      <c r="AL181" s="304"/>
      <c r="AM181" s="304"/>
      <c r="AN181" s="304"/>
      <c r="AO181" s="312"/>
      <c r="AP181" s="304"/>
      <c r="AQ181" s="304"/>
      <c r="AR181" s="304"/>
    </row>
    <row r="182" spans="2:44" x14ac:dyDescent="0.25">
      <c r="B182" s="305"/>
      <c r="C182" s="264" t="str">
        <f>IF(B182&lt;=0,"",VLOOKUP(B182,Treatments!$C$7:$J$407,2))</f>
        <v/>
      </c>
      <c r="D182" s="306"/>
      <c r="E182" s="233">
        <f>VLOOKUP(B182,Treatments!$C$7:$J$407,8)</f>
        <v>0</v>
      </c>
      <c r="F182" s="305"/>
      <c r="G182" s="308"/>
      <c r="H182" s="233">
        <f t="shared" si="26"/>
        <v>0</v>
      </c>
      <c r="I182" s="216">
        <f t="shared" si="30"/>
        <v>0</v>
      </c>
      <c r="L182" s="379" t="s">
        <v>994</v>
      </c>
      <c r="M182" s="380" t="s">
        <v>581</v>
      </c>
      <c r="N182" s="381" t="s">
        <v>616</v>
      </c>
      <c r="O182" s="379" t="s">
        <v>619</v>
      </c>
      <c r="P182" s="382" t="s">
        <v>617</v>
      </c>
      <c r="Q182" s="379"/>
      <c r="R182" s="382" t="s">
        <v>618</v>
      </c>
      <c r="S182" s="384"/>
      <c r="T182" s="384"/>
      <c r="U182" s="304"/>
      <c r="Y182" s="327">
        <f t="shared" si="31"/>
        <v>0</v>
      </c>
      <c r="Z182" s="264" t="str">
        <f>VLOOKUP(Y182,Treatments!$C$7:$J$407,2)</f>
        <v>No treatment</v>
      </c>
      <c r="AA182" s="200">
        <f t="shared" si="27"/>
        <v>0</v>
      </c>
      <c r="AB182" s="233">
        <f>VLOOKUP(Y182,Treatments!$C$7:$J$407,8)</f>
        <v>0</v>
      </c>
      <c r="AC182" s="200">
        <f t="shared" si="28"/>
        <v>0</v>
      </c>
      <c r="AD182" s="296">
        <f t="shared" si="28"/>
        <v>0</v>
      </c>
      <c r="AE182" s="233">
        <f t="shared" si="29"/>
        <v>0</v>
      </c>
      <c r="AF182" s="216">
        <f t="shared" si="32"/>
        <v>0</v>
      </c>
      <c r="AI182" s="329" t="s">
        <v>994</v>
      </c>
      <c r="AJ182" s="313" t="s">
        <v>581</v>
      </c>
      <c r="AK182" s="314" t="s">
        <v>616</v>
      </c>
      <c r="AL182" s="312" t="s">
        <v>619</v>
      </c>
      <c r="AM182" s="304" t="s">
        <v>617</v>
      </c>
      <c r="AN182" s="312"/>
      <c r="AO182" s="304" t="s">
        <v>618</v>
      </c>
      <c r="AP182" s="315"/>
      <c r="AQ182" s="316"/>
      <c r="AR182" s="304"/>
    </row>
    <row r="183" spans="2:44" x14ac:dyDescent="0.25">
      <c r="B183" s="305"/>
      <c r="C183" s="264" t="str">
        <f>IF(B183&lt;=0,"",VLOOKUP(B183,Treatments!$C$7:$J$407,2))</f>
        <v/>
      </c>
      <c r="D183" s="306"/>
      <c r="E183" s="233">
        <f>VLOOKUP(B183,Treatments!$C$7:$J$407,8)</f>
        <v>0</v>
      </c>
      <c r="F183" s="305"/>
      <c r="G183" s="308"/>
      <c r="H183" s="233">
        <f t="shared" si="26"/>
        <v>0</v>
      </c>
      <c r="I183" s="216">
        <f t="shared" si="30"/>
        <v>0</v>
      </c>
      <c r="L183" s="305"/>
      <c r="M183" s="264" t="str">
        <f>VLOOKUP(L183,Treatments!$C$7:$J$407,2)</f>
        <v>No treatment</v>
      </c>
      <c r="N183" s="306"/>
      <c r="O183" s="233">
        <f>VLOOKUP(L183,Treatments!$C$7:$J$407,8)</f>
        <v>0</v>
      </c>
      <c r="P183" s="305"/>
      <c r="Q183" s="307"/>
      <c r="R183" s="308"/>
      <c r="S183" s="233">
        <f t="shared" ref="S183:S188" si="33">N183*O183*P183*R183</f>
        <v>0</v>
      </c>
      <c r="T183" s="216">
        <f t="shared" ref="T183:T188" si="34">S183*$D$3</f>
        <v>0</v>
      </c>
      <c r="U183" s="304"/>
      <c r="Y183" s="327">
        <f t="shared" si="31"/>
        <v>0</v>
      </c>
      <c r="Z183" s="264" t="str">
        <f>VLOOKUP(Y183,Treatments!$C$7:$J$407,2)</f>
        <v>No treatment</v>
      </c>
      <c r="AA183" s="200">
        <f t="shared" si="27"/>
        <v>0</v>
      </c>
      <c r="AB183" s="233">
        <f>VLOOKUP(Y183,Treatments!$C$7:$J$407,8)</f>
        <v>0</v>
      </c>
      <c r="AC183" s="200">
        <f t="shared" si="28"/>
        <v>0</v>
      </c>
      <c r="AD183" s="296">
        <f t="shared" si="28"/>
        <v>0</v>
      </c>
      <c r="AE183" s="233">
        <f t="shared" si="29"/>
        <v>0</v>
      </c>
      <c r="AF183" s="216">
        <f t="shared" si="32"/>
        <v>0</v>
      </c>
      <c r="AI183" s="327">
        <f t="shared" ref="AI183:AI188" si="35">IF(AND(L183&gt;=344,L183&lt;=358),L183+15,L183)</f>
        <v>0</v>
      </c>
      <c r="AJ183" s="264" t="str">
        <f>VLOOKUP(AI183,Treatments!$C$7:$J$407,2)</f>
        <v>No treatment</v>
      </c>
      <c r="AK183" s="200">
        <f t="shared" ref="AK183:AK188" si="36">N183</f>
        <v>0</v>
      </c>
      <c r="AL183" s="233">
        <f>VLOOKUP(AI183,Treatments!$C$7:$J$407,8)</f>
        <v>0</v>
      </c>
      <c r="AM183" s="200">
        <f t="shared" ref="AM183:AM188" si="37">P183</f>
        <v>0</v>
      </c>
      <c r="AN183" s="307"/>
      <c r="AO183" s="296">
        <f t="shared" ref="AO183:AO188" si="38">R183</f>
        <v>0</v>
      </c>
      <c r="AP183" s="233">
        <f t="shared" ref="AP183:AP188" si="39">AK183*AL183*AM183*AO183</f>
        <v>0</v>
      </c>
      <c r="AQ183" s="216">
        <f t="shared" ref="AQ183:AQ188" si="40">AP183*$D$3</f>
        <v>0</v>
      </c>
      <c r="AR183" s="304"/>
    </row>
    <row r="184" spans="2:44" x14ac:dyDescent="0.25">
      <c r="B184" s="305"/>
      <c r="C184" s="264" t="str">
        <f>IF(B184&lt;=0,"",VLOOKUP(B184,Treatments!$C$7:$J$407,2))</f>
        <v/>
      </c>
      <c r="D184" s="306"/>
      <c r="E184" s="233">
        <f>VLOOKUP(B184,Treatments!$C$7:$J$407,8)</f>
        <v>0</v>
      </c>
      <c r="F184" s="305"/>
      <c r="G184" s="308"/>
      <c r="H184" s="233">
        <f t="shared" si="26"/>
        <v>0</v>
      </c>
      <c r="I184" s="216">
        <f t="shared" si="30"/>
        <v>0</v>
      </c>
      <c r="L184" s="305"/>
      <c r="M184" s="264" t="str">
        <f>VLOOKUP(L184,Treatments!$C$7:$J$407,2)</f>
        <v>No treatment</v>
      </c>
      <c r="N184" s="306"/>
      <c r="O184" s="233">
        <f>VLOOKUP(L184,Treatments!$C$7:$J$407,8)</f>
        <v>0</v>
      </c>
      <c r="P184" s="305"/>
      <c r="Q184" s="310"/>
      <c r="R184" s="308"/>
      <c r="S184" s="233">
        <f t="shared" si="33"/>
        <v>0</v>
      </c>
      <c r="T184" s="216">
        <f t="shared" si="34"/>
        <v>0</v>
      </c>
      <c r="U184" s="304"/>
      <c r="Y184" s="327">
        <f t="shared" si="31"/>
        <v>0</v>
      </c>
      <c r="Z184" s="264" t="str">
        <f>VLOOKUP(Y184,Treatments!$C$7:$J$407,2)</f>
        <v>No treatment</v>
      </c>
      <c r="AA184" s="200">
        <f t="shared" si="27"/>
        <v>0</v>
      </c>
      <c r="AB184" s="233">
        <f>VLOOKUP(Y184,Treatments!$C$7:$J$407,8)</f>
        <v>0</v>
      </c>
      <c r="AC184" s="200">
        <f t="shared" si="28"/>
        <v>0</v>
      </c>
      <c r="AD184" s="296">
        <f t="shared" si="28"/>
        <v>0</v>
      </c>
      <c r="AE184" s="233">
        <f t="shared" si="29"/>
        <v>0</v>
      </c>
      <c r="AF184" s="216">
        <f t="shared" si="32"/>
        <v>0</v>
      </c>
      <c r="AI184" s="327">
        <f t="shared" si="35"/>
        <v>0</v>
      </c>
      <c r="AJ184" s="264" t="str">
        <f>VLOOKUP(AI184,Treatments!$C$7:$J$407,2)</f>
        <v>No treatment</v>
      </c>
      <c r="AK184" s="200">
        <f t="shared" si="36"/>
        <v>0</v>
      </c>
      <c r="AL184" s="233">
        <f>VLOOKUP(AI184,Treatments!$C$7:$J$407,8)</f>
        <v>0</v>
      </c>
      <c r="AM184" s="200">
        <f t="shared" si="37"/>
        <v>0</v>
      </c>
      <c r="AN184" s="310"/>
      <c r="AO184" s="296">
        <f t="shared" si="38"/>
        <v>0</v>
      </c>
      <c r="AP184" s="233">
        <f t="shared" si="39"/>
        <v>0</v>
      </c>
      <c r="AQ184" s="216">
        <f t="shared" si="40"/>
        <v>0</v>
      </c>
      <c r="AR184" s="304"/>
    </row>
    <row r="185" spans="2:44" x14ac:dyDescent="0.25">
      <c r="B185" s="305"/>
      <c r="C185" s="264" t="str">
        <f>IF(B185&lt;=0,"",VLOOKUP(B185,Treatments!$C$7:$J$407,2))</f>
        <v/>
      </c>
      <c r="D185" s="306"/>
      <c r="E185" s="233">
        <f>VLOOKUP(B185,Treatments!$C$7:$J$407,8)</f>
        <v>0</v>
      </c>
      <c r="F185" s="305"/>
      <c r="G185" s="308"/>
      <c r="H185" s="233">
        <f t="shared" si="26"/>
        <v>0</v>
      </c>
      <c r="I185" s="216">
        <f t="shared" si="30"/>
        <v>0</v>
      </c>
      <c r="L185" s="305"/>
      <c r="M185" s="264" t="str">
        <f>VLOOKUP(L185,Treatments!$C$7:$J$407,2)</f>
        <v>No treatment</v>
      </c>
      <c r="N185" s="306"/>
      <c r="O185" s="233">
        <f>VLOOKUP(L185,Treatments!$C$7:$J$407,8)</f>
        <v>0</v>
      </c>
      <c r="P185" s="305"/>
      <c r="Q185" s="310"/>
      <c r="R185" s="308"/>
      <c r="S185" s="233">
        <f t="shared" si="33"/>
        <v>0</v>
      </c>
      <c r="T185" s="216">
        <f t="shared" si="34"/>
        <v>0</v>
      </c>
      <c r="U185" s="304"/>
      <c r="Y185" s="327">
        <f t="shared" si="31"/>
        <v>0</v>
      </c>
      <c r="Z185" s="264" t="str">
        <f>VLOOKUP(Y185,Treatments!$C$7:$J$407,2)</f>
        <v>No treatment</v>
      </c>
      <c r="AA185" s="200">
        <f t="shared" si="27"/>
        <v>0</v>
      </c>
      <c r="AB185" s="233">
        <f>VLOOKUP(Y185,Treatments!$C$7:$J$407,8)</f>
        <v>0</v>
      </c>
      <c r="AC185" s="200">
        <f t="shared" si="28"/>
        <v>0</v>
      </c>
      <c r="AD185" s="296">
        <f t="shared" si="28"/>
        <v>0</v>
      </c>
      <c r="AE185" s="233">
        <f t="shared" si="29"/>
        <v>0</v>
      </c>
      <c r="AF185" s="216">
        <f t="shared" si="32"/>
        <v>0</v>
      </c>
      <c r="AI185" s="327">
        <f t="shared" si="35"/>
        <v>0</v>
      </c>
      <c r="AJ185" s="264" t="str">
        <f>VLOOKUP(AI185,Treatments!$C$7:$J$407,2)</f>
        <v>No treatment</v>
      </c>
      <c r="AK185" s="200">
        <f t="shared" si="36"/>
        <v>0</v>
      </c>
      <c r="AL185" s="233">
        <f>VLOOKUP(AI185,Treatments!$C$7:$J$407,8)</f>
        <v>0</v>
      </c>
      <c r="AM185" s="200">
        <f t="shared" si="37"/>
        <v>0</v>
      </c>
      <c r="AN185" s="310"/>
      <c r="AO185" s="296">
        <f t="shared" si="38"/>
        <v>0</v>
      </c>
      <c r="AP185" s="233">
        <f t="shared" si="39"/>
        <v>0</v>
      </c>
      <c r="AQ185" s="216">
        <f t="shared" si="40"/>
        <v>0</v>
      </c>
      <c r="AR185" s="304"/>
    </row>
    <row r="186" spans="2:44" x14ac:dyDescent="0.25">
      <c r="B186" s="305"/>
      <c r="C186" s="264" t="str">
        <f>IF(B186&lt;=0,"",VLOOKUP(B186,Treatments!$C$7:$J$407,2))</f>
        <v/>
      </c>
      <c r="D186" s="306"/>
      <c r="E186" s="233">
        <f>VLOOKUP(B186,Treatments!$C$7:$J$407,8)</f>
        <v>0</v>
      </c>
      <c r="F186" s="305"/>
      <c r="G186" s="308"/>
      <c r="H186" s="233">
        <f t="shared" si="26"/>
        <v>0</v>
      </c>
      <c r="I186" s="216">
        <f t="shared" si="30"/>
        <v>0</v>
      </c>
      <c r="L186" s="305"/>
      <c r="M186" s="264" t="str">
        <f>VLOOKUP(L186,Treatments!$C$7:$J$407,2)</f>
        <v>No treatment</v>
      </c>
      <c r="N186" s="306"/>
      <c r="O186" s="233">
        <f>VLOOKUP(L186,Treatments!$C$7:$J$407,8)</f>
        <v>0</v>
      </c>
      <c r="P186" s="305"/>
      <c r="Q186" s="310"/>
      <c r="R186" s="308"/>
      <c r="S186" s="233">
        <f t="shared" si="33"/>
        <v>0</v>
      </c>
      <c r="T186" s="216">
        <f t="shared" si="34"/>
        <v>0</v>
      </c>
      <c r="U186" s="304"/>
      <c r="Y186" s="327">
        <f t="shared" si="31"/>
        <v>0</v>
      </c>
      <c r="Z186" s="264" t="str">
        <f>VLOOKUP(Y186,Treatments!$C$7:$J$407,2)</f>
        <v>No treatment</v>
      </c>
      <c r="AA186" s="200">
        <f t="shared" si="27"/>
        <v>0</v>
      </c>
      <c r="AB186" s="233">
        <f>VLOOKUP(Y186,Treatments!$C$7:$J$407,8)</f>
        <v>0</v>
      </c>
      <c r="AC186" s="200">
        <f t="shared" si="28"/>
        <v>0</v>
      </c>
      <c r="AD186" s="296">
        <f t="shared" si="28"/>
        <v>0</v>
      </c>
      <c r="AE186" s="233">
        <f t="shared" si="29"/>
        <v>0</v>
      </c>
      <c r="AF186" s="216">
        <f t="shared" si="32"/>
        <v>0</v>
      </c>
      <c r="AI186" s="327">
        <f t="shared" si="35"/>
        <v>0</v>
      </c>
      <c r="AJ186" s="264" t="str">
        <f>VLOOKUP(AI186,Treatments!$C$7:$J$407,2)</f>
        <v>No treatment</v>
      </c>
      <c r="AK186" s="200">
        <f t="shared" si="36"/>
        <v>0</v>
      </c>
      <c r="AL186" s="233">
        <f>VLOOKUP(AI186,Treatments!$C$7:$J$407,8)</f>
        <v>0</v>
      </c>
      <c r="AM186" s="200">
        <f t="shared" si="37"/>
        <v>0</v>
      </c>
      <c r="AN186" s="310"/>
      <c r="AO186" s="296">
        <f t="shared" si="38"/>
        <v>0</v>
      </c>
      <c r="AP186" s="233">
        <f t="shared" si="39"/>
        <v>0</v>
      </c>
      <c r="AQ186" s="216">
        <f t="shared" si="40"/>
        <v>0</v>
      </c>
      <c r="AR186" s="304"/>
    </row>
    <row r="187" spans="2:44" x14ac:dyDescent="0.25">
      <c r="B187" s="305"/>
      <c r="C187" s="264" t="str">
        <f>IF(B187&lt;=0,"",VLOOKUP(B187,Treatments!$C$7:$J$407,2))</f>
        <v/>
      </c>
      <c r="D187" s="306"/>
      <c r="E187" s="233">
        <f>VLOOKUP(B187,Treatments!$C$7:$J$407,8)</f>
        <v>0</v>
      </c>
      <c r="F187" s="305"/>
      <c r="G187" s="308"/>
      <c r="H187" s="233">
        <f t="shared" si="26"/>
        <v>0</v>
      </c>
      <c r="I187" s="216">
        <f t="shared" si="30"/>
        <v>0</v>
      </c>
      <c r="L187" s="305"/>
      <c r="M187" s="264" t="str">
        <f>VLOOKUP(L187,Treatments!$C$7:$J$407,2)</f>
        <v>No treatment</v>
      </c>
      <c r="N187" s="306"/>
      <c r="O187" s="233">
        <f>VLOOKUP(L187,Treatments!$C$7:$J$407,8)</f>
        <v>0</v>
      </c>
      <c r="P187" s="305"/>
      <c r="Q187" s="310"/>
      <c r="R187" s="308"/>
      <c r="S187" s="233">
        <f t="shared" si="33"/>
        <v>0</v>
      </c>
      <c r="T187" s="216">
        <f t="shared" si="34"/>
        <v>0</v>
      </c>
      <c r="U187" s="304"/>
      <c r="Y187" s="327">
        <f t="shared" si="31"/>
        <v>0</v>
      </c>
      <c r="Z187" s="264" t="str">
        <f>VLOOKUP(Y187,Treatments!$C$7:$J$407,2)</f>
        <v>No treatment</v>
      </c>
      <c r="AA187" s="200">
        <f t="shared" si="27"/>
        <v>0</v>
      </c>
      <c r="AB187" s="233">
        <f>VLOOKUP(Y187,Treatments!$C$7:$J$407,8)</f>
        <v>0</v>
      </c>
      <c r="AC187" s="200">
        <f t="shared" si="28"/>
        <v>0</v>
      </c>
      <c r="AD187" s="296">
        <f t="shared" si="28"/>
        <v>0</v>
      </c>
      <c r="AE187" s="233">
        <f t="shared" si="29"/>
        <v>0</v>
      </c>
      <c r="AF187" s="216">
        <f t="shared" si="32"/>
        <v>0</v>
      </c>
      <c r="AI187" s="327">
        <f t="shared" si="35"/>
        <v>0</v>
      </c>
      <c r="AJ187" s="264" t="str">
        <f>VLOOKUP(AI187,Treatments!$C$7:$J$407,2)</f>
        <v>No treatment</v>
      </c>
      <c r="AK187" s="200">
        <f t="shared" si="36"/>
        <v>0</v>
      </c>
      <c r="AL187" s="233">
        <f>VLOOKUP(AI187,Treatments!$C$7:$J$407,8)</f>
        <v>0</v>
      </c>
      <c r="AM187" s="200">
        <f t="shared" si="37"/>
        <v>0</v>
      </c>
      <c r="AN187" s="310"/>
      <c r="AO187" s="296">
        <f t="shared" si="38"/>
        <v>0</v>
      </c>
      <c r="AP187" s="233">
        <f t="shared" si="39"/>
        <v>0</v>
      </c>
      <c r="AQ187" s="216">
        <f t="shared" si="40"/>
        <v>0</v>
      </c>
      <c r="AR187" s="304"/>
    </row>
    <row r="188" spans="2:44" x14ac:dyDescent="0.25">
      <c r="B188" s="305"/>
      <c r="C188" s="264" t="str">
        <f>IF(B188&lt;=0,"",VLOOKUP(B188,Treatments!$C$7:$J$407,2))</f>
        <v/>
      </c>
      <c r="D188" s="306"/>
      <c r="E188" s="233">
        <f>VLOOKUP(B188,Treatments!$C$7:$J$407,8)</f>
        <v>0</v>
      </c>
      <c r="F188" s="305"/>
      <c r="G188" s="308"/>
      <c r="H188" s="233">
        <f t="shared" si="26"/>
        <v>0</v>
      </c>
      <c r="I188" s="216">
        <f t="shared" si="30"/>
        <v>0</v>
      </c>
      <c r="L188" s="305"/>
      <c r="M188" s="264" t="str">
        <f>VLOOKUP(L188,Treatments!$C$7:$J$407,2)</f>
        <v>No treatment</v>
      </c>
      <c r="N188" s="306"/>
      <c r="O188" s="233">
        <f>VLOOKUP(L188,Treatments!$C$7:$J$407,8)</f>
        <v>0</v>
      </c>
      <c r="P188" s="305"/>
      <c r="Q188" s="311"/>
      <c r="R188" s="308"/>
      <c r="S188" s="233">
        <f t="shared" si="33"/>
        <v>0</v>
      </c>
      <c r="T188" s="216">
        <f t="shared" si="34"/>
        <v>0</v>
      </c>
      <c r="U188" s="304"/>
      <c r="Y188" s="327">
        <f t="shared" si="31"/>
        <v>0</v>
      </c>
      <c r="Z188" s="264" t="str">
        <f>VLOOKUP(Y188,Treatments!$C$7:$J$407,2)</f>
        <v>No treatment</v>
      </c>
      <c r="AA188" s="200">
        <f t="shared" si="27"/>
        <v>0</v>
      </c>
      <c r="AB188" s="233">
        <f>VLOOKUP(Y188,Treatments!$C$7:$J$407,8)</f>
        <v>0</v>
      </c>
      <c r="AC188" s="200">
        <f t="shared" si="28"/>
        <v>0</v>
      </c>
      <c r="AD188" s="296">
        <f t="shared" si="28"/>
        <v>0</v>
      </c>
      <c r="AE188" s="233">
        <f t="shared" si="29"/>
        <v>0</v>
      </c>
      <c r="AF188" s="216">
        <f t="shared" si="32"/>
        <v>0</v>
      </c>
      <c r="AI188" s="327">
        <f t="shared" si="35"/>
        <v>0</v>
      </c>
      <c r="AJ188" s="264" t="str">
        <f>VLOOKUP(AI188,Treatments!$C$7:$J$407,2)</f>
        <v>No treatment</v>
      </c>
      <c r="AK188" s="200">
        <f t="shared" si="36"/>
        <v>0</v>
      </c>
      <c r="AL188" s="233">
        <f>VLOOKUP(AI188,Treatments!$C$7:$J$407,8)</f>
        <v>0</v>
      </c>
      <c r="AM188" s="200">
        <f t="shared" si="37"/>
        <v>0</v>
      </c>
      <c r="AN188" s="311"/>
      <c r="AO188" s="296">
        <f t="shared" si="38"/>
        <v>0</v>
      </c>
      <c r="AP188" s="233">
        <f t="shared" si="39"/>
        <v>0</v>
      </c>
      <c r="AQ188" s="216">
        <f t="shared" si="40"/>
        <v>0</v>
      </c>
      <c r="AR188" s="304"/>
    </row>
    <row r="189" spans="2:44" x14ac:dyDescent="0.25">
      <c r="B189" s="305"/>
      <c r="C189" s="264" t="str">
        <f>IF(B189&lt;=0,"",VLOOKUP(B189,Treatments!$C$7:$J$407,2))</f>
        <v/>
      </c>
      <c r="D189" s="306"/>
      <c r="E189" s="233">
        <f>VLOOKUP(B189,Treatments!$C$7:$J$407,8)</f>
        <v>0</v>
      </c>
      <c r="F189" s="305"/>
      <c r="G189" s="308"/>
      <c r="H189" s="233">
        <f t="shared" si="26"/>
        <v>0</v>
      </c>
      <c r="I189" s="216">
        <f t="shared" si="30"/>
        <v>0</v>
      </c>
      <c r="L189" s="304"/>
      <c r="M189" s="314"/>
      <c r="N189" s="318" t="s">
        <v>584</v>
      </c>
      <c r="O189" s="312"/>
      <c r="P189" s="304"/>
      <c r="Q189" s="312"/>
      <c r="R189" s="304"/>
      <c r="S189" s="298">
        <f>SUM(S161:S188)</f>
        <v>0</v>
      </c>
      <c r="T189" s="298">
        <f>SUM(T161:T188)</f>
        <v>0</v>
      </c>
      <c r="U189" s="304"/>
      <c r="Y189" s="327">
        <f t="shared" si="31"/>
        <v>0</v>
      </c>
      <c r="Z189" s="264" t="str">
        <f>VLOOKUP(Y189,Treatments!$C$7:$J$407,2)</f>
        <v>No treatment</v>
      </c>
      <c r="AA189" s="200">
        <f t="shared" si="27"/>
        <v>0</v>
      </c>
      <c r="AB189" s="233">
        <f>VLOOKUP(Y189,Treatments!$C$7:$J$407,8)</f>
        <v>0</v>
      </c>
      <c r="AC189" s="200">
        <f t="shared" si="28"/>
        <v>0</v>
      </c>
      <c r="AD189" s="296">
        <f t="shared" si="28"/>
        <v>0</v>
      </c>
      <c r="AE189" s="233">
        <f t="shared" si="29"/>
        <v>0</v>
      </c>
      <c r="AF189" s="216">
        <f t="shared" si="32"/>
        <v>0</v>
      </c>
      <c r="AI189" s="304"/>
      <c r="AJ189" s="314"/>
      <c r="AK189" s="318" t="s">
        <v>584</v>
      </c>
      <c r="AL189" s="312"/>
      <c r="AM189" s="304"/>
      <c r="AN189" s="312"/>
      <c r="AO189" s="304"/>
      <c r="AP189" s="298">
        <f>SUM(AP161:AP188)</f>
        <v>0</v>
      </c>
      <c r="AQ189" s="298">
        <f>SUM(AQ161:AQ188)</f>
        <v>0</v>
      </c>
      <c r="AR189" s="304"/>
    </row>
    <row r="190" spans="2:44" x14ac:dyDescent="0.25">
      <c r="B190" s="304"/>
      <c r="C190" s="304"/>
      <c r="D190" s="304"/>
      <c r="E190" s="304"/>
      <c r="F190" s="304"/>
      <c r="G190" s="312"/>
      <c r="H190" s="304"/>
      <c r="I190" s="304"/>
      <c r="L190" s="304"/>
      <c r="M190" s="304"/>
      <c r="N190" s="304"/>
      <c r="O190" s="304"/>
      <c r="P190" s="304"/>
      <c r="Q190" s="304"/>
      <c r="R190" s="304"/>
      <c r="S190" s="304"/>
      <c r="T190" s="304"/>
      <c r="U190" s="304"/>
      <c r="Y190" s="304"/>
      <c r="Z190" s="304"/>
      <c r="AA190" s="304"/>
      <c r="AB190" s="304"/>
      <c r="AC190" s="304"/>
      <c r="AD190" s="312"/>
      <c r="AE190" s="304"/>
      <c r="AF190" s="304"/>
      <c r="AI190" s="304"/>
      <c r="AJ190" s="304"/>
      <c r="AK190" s="304"/>
      <c r="AL190" s="304"/>
      <c r="AM190" s="304"/>
      <c r="AN190" s="304"/>
      <c r="AO190" s="304"/>
      <c r="AP190" s="304"/>
      <c r="AQ190" s="304"/>
      <c r="AR190" s="304"/>
    </row>
    <row r="191" spans="2:44" x14ac:dyDescent="0.25">
      <c r="B191" s="385" t="s">
        <v>994</v>
      </c>
      <c r="C191" s="386" t="s">
        <v>581</v>
      </c>
      <c r="D191" s="387" t="s">
        <v>616</v>
      </c>
      <c r="E191" s="385" t="s">
        <v>619</v>
      </c>
      <c r="F191" s="388" t="s">
        <v>617</v>
      </c>
      <c r="G191" s="388" t="s">
        <v>618</v>
      </c>
      <c r="H191" s="389"/>
      <c r="I191" s="390"/>
      <c r="L191" s="304"/>
      <c r="M191" s="304"/>
      <c r="N191" s="304"/>
      <c r="O191" s="304"/>
      <c r="P191" s="304"/>
      <c r="Q191" s="304"/>
      <c r="R191" s="304"/>
      <c r="S191" s="319"/>
      <c r="T191" s="320"/>
      <c r="U191" s="304"/>
      <c r="Y191" s="312" t="s">
        <v>994</v>
      </c>
      <c r="Z191" s="313" t="s">
        <v>581</v>
      </c>
      <c r="AA191" s="314" t="s">
        <v>616</v>
      </c>
      <c r="AB191" s="312" t="s">
        <v>619</v>
      </c>
      <c r="AC191" s="304" t="s">
        <v>617</v>
      </c>
      <c r="AD191" s="304" t="s">
        <v>618</v>
      </c>
      <c r="AE191" s="315"/>
      <c r="AF191" s="316"/>
      <c r="AI191" s="304"/>
      <c r="AJ191" s="304"/>
      <c r="AK191" s="304"/>
      <c r="AL191" s="304"/>
      <c r="AM191" s="304"/>
      <c r="AN191" s="304"/>
      <c r="AO191" s="304"/>
      <c r="AP191" s="319"/>
      <c r="AQ191" s="320"/>
      <c r="AR191" s="304"/>
    </row>
    <row r="192" spans="2:44" x14ac:dyDescent="0.25">
      <c r="B192" s="305"/>
      <c r="C192" s="264" t="str">
        <f>IF(B192&lt;=0,"",VLOOKUP(B192,Treatments!$C$7:$J$407,2))</f>
        <v/>
      </c>
      <c r="D192" s="306"/>
      <c r="E192" s="233">
        <f>VLOOKUP(B192,Treatments!$C$7:$J$407,8)</f>
        <v>0</v>
      </c>
      <c r="F192" s="305"/>
      <c r="G192" s="308"/>
      <c r="H192" s="233">
        <f t="shared" ref="H192:H198" si="41">D192*E192*F192*G192</f>
        <v>0</v>
      </c>
      <c r="I192" s="216">
        <f>H192*$D$3</f>
        <v>0</v>
      </c>
      <c r="L192" s="304"/>
      <c r="N192" s="304"/>
      <c r="O192" s="304"/>
      <c r="P192" s="304"/>
      <c r="Q192" s="304"/>
      <c r="R192" s="317" t="s">
        <v>794</v>
      </c>
      <c r="S192" s="331"/>
      <c r="T192" s="298">
        <f>S192*$D$3</f>
        <v>0</v>
      </c>
      <c r="U192" s="304"/>
      <c r="Y192" s="327">
        <f t="shared" ref="Y192:Y197" si="42">IF(AND(B192&gt;=344,B192&lt;=358),B192+15,B192)</f>
        <v>0</v>
      </c>
      <c r="Z192" s="264" t="str">
        <f>VLOOKUP(Y192,Treatments!$C$7:$J$407,2)</f>
        <v>No treatment</v>
      </c>
      <c r="AA192" s="200">
        <f>D192</f>
        <v>0</v>
      </c>
      <c r="AB192" s="233">
        <f>VLOOKUP(Y192,Treatments!$C$7:$J$407,8)</f>
        <v>0</v>
      </c>
      <c r="AC192" s="200">
        <f>F192</f>
        <v>0</v>
      </c>
      <c r="AD192" s="296">
        <f t="shared" ref="AD192:AD198" si="43">G192</f>
        <v>0</v>
      </c>
      <c r="AE192" s="233">
        <f t="shared" ref="AE192:AE198" si="44">AA192*AB192*AC192*AD192</f>
        <v>0</v>
      </c>
      <c r="AF192" s="216">
        <f>AE192*$D$3</f>
        <v>0</v>
      </c>
      <c r="AI192" s="304"/>
      <c r="AK192" s="304"/>
      <c r="AL192" s="304"/>
      <c r="AM192" s="304"/>
      <c r="AN192" s="304"/>
      <c r="AO192" s="317" t="s">
        <v>794</v>
      </c>
      <c r="AP192" s="298">
        <f>S192</f>
        <v>0</v>
      </c>
      <c r="AQ192" s="298">
        <f>AP192*$D$3</f>
        <v>0</v>
      </c>
      <c r="AR192" s="304"/>
    </row>
    <row r="193" spans="2:44" x14ac:dyDescent="0.25">
      <c r="B193" s="305"/>
      <c r="C193" s="264" t="str">
        <f>IF(B193&lt;=0,"",VLOOKUP(B193,Treatments!$C$7:$J$407,2))</f>
        <v/>
      </c>
      <c r="D193" s="306"/>
      <c r="E193" s="233">
        <f>VLOOKUP(B193,Treatments!$C$7:$J$407,8)</f>
        <v>0</v>
      </c>
      <c r="F193" s="305"/>
      <c r="G193" s="308"/>
      <c r="H193" s="233">
        <f t="shared" si="41"/>
        <v>0</v>
      </c>
      <c r="I193" s="216">
        <f t="shared" ref="I193:I198" si="45">H193*$D$3</f>
        <v>0</v>
      </c>
      <c r="L193" s="304"/>
      <c r="M193" s="304"/>
      <c r="N193" s="304"/>
      <c r="O193" s="304"/>
      <c r="P193" s="304"/>
      <c r="Q193" s="317" t="s">
        <v>585</v>
      </c>
      <c r="R193" s="321">
        <v>0.05</v>
      </c>
      <c r="S193" s="298">
        <f>S192+S191+S189</f>
        <v>0</v>
      </c>
      <c r="T193" s="298">
        <f>T192+T191+T189</f>
        <v>0</v>
      </c>
      <c r="U193" s="304"/>
      <c r="Y193" s="327">
        <f t="shared" si="42"/>
        <v>0</v>
      </c>
      <c r="Z193" s="264" t="str">
        <f>VLOOKUP(Y193,Treatments!$C$7:$J$407,2)</f>
        <v>No treatment</v>
      </c>
      <c r="AA193" s="200">
        <f t="shared" ref="AA193:AA198" si="46">D193</f>
        <v>0</v>
      </c>
      <c r="AB193" s="233">
        <f>VLOOKUP(Y193,Treatments!$C$7:$J$407,8)</f>
        <v>0</v>
      </c>
      <c r="AC193" s="200">
        <f t="shared" ref="AC193:AC198" si="47">F193</f>
        <v>0</v>
      </c>
      <c r="AD193" s="296">
        <f t="shared" si="43"/>
        <v>0</v>
      </c>
      <c r="AE193" s="233">
        <f t="shared" si="44"/>
        <v>0</v>
      </c>
      <c r="AF193" s="216">
        <f t="shared" ref="AF193:AF198" si="48">AE193*$D$3</f>
        <v>0</v>
      </c>
      <c r="AI193" s="304"/>
      <c r="AJ193" s="304"/>
      <c r="AK193" s="304"/>
      <c r="AL193" s="304"/>
      <c r="AM193" s="304"/>
      <c r="AN193" s="317" t="s">
        <v>585</v>
      </c>
      <c r="AO193" s="296">
        <f>R193</f>
        <v>0.05</v>
      </c>
      <c r="AP193" s="298">
        <f>AP192+AP191+AP189</f>
        <v>0</v>
      </c>
      <c r="AQ193" s="298">
        <f>AQ192+AQ191+AQ189</f>
        <v>0</v>
      </c>
      <c r="AR193" s="304"/>
    </row>
    <row r="194" spans="2:44" x14ac:dyDescent="0.25">
      <c r="B194" s="305"/>
      <c r="C194" s="264" t="str">
        <f>IF(B194&lt;=0,"",VLOOKUP(B194,Treatments!$C$7:$J$407,2))</f>
        <v/>
      </c>
      <c r="D194" s="306"/>
      <c r="E194" s="233">
        <f>VLOOKUP(B194,Treatments!$C$7:$J$407,8)</f>
        <v>0</v>
      </c>
      <c r="F194" s="305"/>
      <c r="G194" s="308"/>
      <c r="H194" s="233">
        <f t="shared" si="41"/>
        <v>0</v>
      </c>
      <c r="I194" s="216">
        <f t="shared" si="45"/>
        <v>0</v>
      </c>
      <c r="L194" s="304"/>
      <c r="N194" s="304"/>
      <c r="O194" s="323" t="s">
        <v>586</v>
      </c>
      <c r="P194" s="317" t="s">
        <v>587</v>
      </c>
      <c r="Q194" s="322">
        <v>30</v>
      </c>
      <c r="R194" s="304" t="s">
        <v>588</v>
      </c>
      <c r="S194" s="319">
        <f>PMT(R193,Q194,S193)*-1</f>
        <v>0</v>
      </c>
      <c r="T194" s="304" t="s">
        <v>589</v>
      </c>
      <c r="U194" s="304"/>
      <c r="Y194" s="327">
        <f t="shared" si="42"/>
        <v>0</v>
      </c>
      <c r="Z194" s="264" t="str">
        <f>VLOOKUP(Y194,Treatments!$C$7:$J$407,2)</f>
        <v>No treatment</v>
      </c>
      <c r="AA194" s="200">
        <f t="shared" si="46"/>
        <v>0</v>
      </c>
      <c r="AB194" s="233">
        <f>VLOOKUP(Y194,Treatments!$C$7:$J$407,8)</f>
        <v>0</v>
      </c>
      <c r="AC194" s="200">
        <f t="shared" si="47"/>
        <v>0</v>
      </c>
      <c r="AD194" s="296">
        <f t="shared" si="43"/>
        <v>0</v>
      </c>
      <c r="AE194" s="233">
        <f t="shared" si="44"/>
        <v>0</v>
      </c>
      <c r="AF194" s="216">
        <f t="shared" si="48"/>
        <v>0</v>
      </c>
      <c r="AI194" s="304"/>
      <c r="AK194" s="304"/>
      <c r="AL194" s="323" t="s">
        <v>586</v>
      </c>
      <c r="AM194" s="317" t="s">
        <v>587</v>
      </c>
      <c r="AN194" s="327">
        <f>Q194</f>
        <v>30</v>
      </c>
      <c r="AO194" s="304" t="s">
        <v>588</v>
      </c>
      <c r="AP194" s="319">
        <f>PMT(AO193,AN194,AP193)*-1</f>
        <v>0</v>
      </c>
      <c r="AQ194" s="304" t="s">
        <v>589</v>
      </c>
      <c r="AR194" s="304"/>
    </row>
    <row r="195" spans="2:44" x14ac:dyDescent="0.25">
      <c r="B195" s="305"/>
      <c r="C195" s="264" t="str">
        <f>IF(B195&lt;=0,"",VLOOKUP(B195,Treatments!$C$7:$J$407,2))</f>
        <v/>
      </c>
      <c r="D195" s="306"/>
      <c r="E195" s="233">
        <f>VLOOKUP(B195,Treatments!$C$7:$J$407,8)</f>
        <v>0</v>
      </c>
      <c r="F195" s="305"/>
      <c r="G195" s="308"/>
      <c r="H195" s="233">
        <f t="shared" si="41"/>
        <v>0</v>
      </c>
      <c r="I195" s="216">
        <f t="shared" si="45"/>
        <v>0</v>
      </c>
      <c r="L195" s="304"/>
      <c r="N195" s="304"/>
      <c r="T195" s="304"/>
      <c r="U195" s="304"/>
      <c r="Y195" s="327">
        <f t="shared" si="42"/>
        <v>0</v>
      </c>
      <c r="Z195" s="264" t="str">
        <f>VLOOKUP(Y195,Treatments!$C$7:$J$407,2)</f>
        <v>No treatment</v>
      </c>
      <c r="AA195" s="200">
        <f t="shared" si="46"/>
        <v>0</v>
      </c>
      <c r="AB195" s="233">
        <f>VLOOKUP(Y195,Treatments!$C$7:$J$407,8)</f>
        <v>0</v>
      </c>
      <c r="AC195" s="200">
        <f t="shared" si="47"/>
        <v>0</v>
      </c>
      <c r="AD195" s="296">
        <f t="shared" si="43"/>
        <v>0</v>
      </c>
      <c r="AE195" s="233">
        <f t="shared" si="44"/>
        <v>0</v>
      </c>
      <c r="AF195" s="216">
        <f t="shared" si="48"/>
        <v>0</v>
      </c>
      <c r="AI195" s="304"/>
      <c r="AJ195" s="304"/>
      <c r="AK195" s="304"/>
      <c r="AL195" s="304"/>
      <c r="AM195" s="304"/>
      <c r="AN195" s="304"/>
      <c r="AO195" s="304"/>
      <c r="AP195" s="304"/>
      <c r="AQ195" s="304"/>
      <c r="AR195" s="304"/>
    </row>
    <row r="196" spans="2:44" x14ac:dyDescent="0.25">
      <c r="B196" s="305"/>
      <c r="C196" s="264" t="str">
        <f>IF(B196&lt;=0,"",VLOOKUP(B196,Treatments!$C$7:$J$407,2))</f>
        <v/>
      </c>
      <c r="D196" s="306"/>
      <c r="E196" s="233">
        <f>VLOOKUP(B196,Treatments!$C$7:$J$407,8)</f>
        <v>0</v>
      </c>
      <c r="F196" s="305"/>
      <c r="G196" s="308"/>
      <c r="H196" s="233">
        <f t="shared" si="41"/>
        <v>0</v>
      </c>
      <c r="I196" s="216">
        <f t="shared" si="45"/>
        <v>0</v>
      </c>
      <c r="L196" s="304"/>
      <c r="M196" s="304"/>
      <c r="N196" s="304"/>
      <c r="O196" s="304"/>
      <c r="P196" s="304"/>
      <c r="Q196" s="304"/>
      <c r="R196" s="304"/>
      <c r="S196" s="304"/>
      <c r="T196" s="304"/>
      <c r="U196" s="304"/>
      <c r="Y196" s="327">
        <f t="shared" si="42"/>
        <v>0</v>
      </c>
      <c r="Z196" s="264" t="str">
        <f>VLOOKUP(Y196,Treatments!$C$7:$J$407,2)</f>
        <v>No treatment</v>
      </c>
      <c r="AA196" s="200">
        <f t="shared" si="46"/>
        <v>0</v>
      </c>
      <c r="AB196" s="233">
        <f>VLOOKUP(Y196,Treatments!$C$7:$J$407,8)</f>
        <v>0</v>
      </c>
      <c r="AC196" s="200">
        <f t="shared" si="47"/>
        <v>0</v>
      </c>
      <c r="AD196" s="296">
        <f t="shared" si="43"/>
        <v>0</v>
      </c>
      <c r="AE196" s="233">
        <f t="shared" si="44"/>
        <v>0</v>
      </c>
      <c r="AF196" s="216">
        <f t="shared" si="48"/>
        <v>0</v>
      </c>
      <c r="AI196" s="304"/>
      <c r="AJ196" s="304"/>
      <c r="AK196" s="304"/>
      <c r="AL196" s="304"/>
      <c r="AM196" s="304"/>
      <c r="AN196" s="304"/>
      <c r="AO196" s="304"/>
      <c r="AP196" s="304"/>
      <c r="AQ196" s="304"/>
      <c r="AR196" s="304"/>
    </row>
    <row r="197" spans="2:44" x14ac:dyDescent="0.25">
      <c r="B197" s="305"/>
      <c r="C197" s="264" t="str">
        <f>IF(B197&lt;=0,"",VLOOKUP(B197,Treatments!$C$7:$J$407,2))</f>
        <v/>
      </c>
      <c r="D197" s="306"/>
      <c r="E197" s="233">
        <f>VLOOKUP(B197,Treatments!$C$7:$J$407,8)</f>
        <v>0</v>
      </c>
      <c r="F197" s="305"/>
      <c r="G197" s="308"/>
      <c r="H197" s="233">
        <f t="shared" si="41"/>
        <v>0</v>
      </c>
      <c r="I197" s="216">
        <f t="shared" si="45"/>
        <v>0</v>
      </c>
      <c r="L197" s="304"/>
      <c r="M197" s="304"/>
      <c r="N197" s="304"/>
      <c r="O197" s="304"/>
      <c r="P197" s="304"/>
      <c r="Q197" s="304"/>
      <c r="R197" s="304"/>
      <c r="S197" s="304"/>
      <c r="T197" s="304"/>
      <c r="U197" s="304"/>
      <c r="Y197" s="327">
        <f t="shared" si="42"/>
        <v>0</v>
      </c>
      <c r="Z197" s="264" t="str">
        <f>VLOOKUP(Y197,Treatments!$C$7:$J$407,2)</f>
        <v>No treatment</v>
      </c>
      <c r="AA197" s="200">
        <f t="shared" si="46"/>
        <v>0</v>
      </c>
      <c r="AB197" s="233">
        <f>VLOOKUP(Y197,Treatments!$C$7:$J$407,8)</f>
        <v>0</v>
      </c>
      <c r="AC197" s="200">
        <f t="shared" si="47"/>
        <v>0</v>
      </c>
      <c r="AD197" s="296">
        <f t="shared" si="43"/>
        <v>0</v>
      </c>
      <c r="AE197" s="233">
        <f t="shared" si="44"/>
        <v>0</v>
      </c>
      <c r="AF197" s="216">
        <f t="shared" si="48"/>
        <v>0</v>
      </c>
      <c r="AI197" s="304"/>
      <c r="AJ197" s="304"/>
      <c r="AK197" s="304"/>
      <c r="AL197" s="304"/>
      <c r="AM197" s="304"/>
      <c r="AN197" s="304"/>
      <c r="AO197" s="304"/>
      <c r="AP197" s="304"/>
      <c r="AQ197" s="304"/>
      <c r="AR197" s="304"/>
    </row>
    <row r="198" spans="2:44" ht="15.75" x14ac:dyDescent="0.25">
      <c r="B198" s="304"/>
      <c r="C198" t="s">
        <v>586</v>
      </c>
      <c r="D198" s="306"/>
      <c r="E198" s="233">
        <f>S194</f>
        <v>0</v>
      </c>
      <c r="F198" s="305"/>
      <c r="G198" s="308"/>
      <c r="H198" s="233">
        <f t="shared" si="41"/>
        <v>0</v>
      </c>
      <c r="I198" s="216">
        <f t="shared" si="45"/>
        <v>0</v>
      </c>
      <c r="L198" s="304"/>
      <c r="M198" s="304"/>
      <c r="N198" s="304"/>
      <c r="O198" s="304"/>
      <c r="P198" s="304"/>
      <c r="Q198" s="304"/>
      <c r="R198" s="304"/>
      <c r="S198" s="304"/>
      <c r="T198" s="304"/>
      <c r="U198" s="304"/>
      <c r="Y198" s="304"/>
      <c r="Z198" t="s">
        <v>586</v>
      </c>
      <c r="AA198" s="200">
        <f t="shared" si="46"/>
        <v>0</v>
      </c>
      <c r="AB198" s="233">
        <f>AP194</f>
        <v>0</v>
      </c>
      <c r="AC198" s="200">
        <f t="shared" si="47"/>
        <v>0</v>
      </c>
      <c r="AD198" s="296">
        <f t="shared" si="43"/>
        <v>0</v>
      </c>
      <c r="AE198" s="233">
        <f t="shared" si="44"/>
        <v>0</v>
      </c>
      <c r="AF198" s="216">
        <f t="shared" si="48"/>
        <v>0</v>
      </c>
      <c r="AI198" s="304"/>
      <c r="AJ198" s="304"/>
      <c r="AK198" s="304"/>
      <c r="AL198" s="304"/>
      <c r="AM198" s="304"/>
      <c r="AN198" s="304"/>
      <c r="AO198" s="304"/>
      <c r="AP198" s="304"/>
      <c r="AQ198" s="304"/>
      <c r="AR198" s="304"/>
    </row>
    <row r="199" spans="2:44" x14ac:dyDescent="0.25">
      <c r="B199" s="224"/>
      <c r="C199" s="224"/>
      <c r="D199" s="224"/>
      <c r="E199" s="274"/>
      <c r="F199" s="391" t="s">
        <v>796</v>
      </c>
      <c r="G199" s="224"/>
      <c r="H199" s="298">
        <f>SUM(H161:H198)</f>
        <v>0</v>
      </c>
      <c r="I199" s="298">
        <f>SUM(I161:I198)</f>
        <v>0</v>
      </c>
      <c r="L199" s="304" t="s">
        <v>791</v>
      </c>
      <c r="M199" s="304"/>
      <c r="N199" s="304"/>
      <c r="O199" s="304"/>
      <c r="P199" s="304"/>
      <c r="Q199" s="304"/>
      <c r="R199" s="304"/>
      <c r="S199" s="304"/>
      <c r="T199" s="304"/>
      <c r="U199" s="304"/>
      <c r="Y199" s="224"/>
      <c r="Z199" s="224"/>
      <c r="AA199" s="224"/>
      <c r="AB199" s="274"/>
      <c r="AC199" s="224" t="s">
        <v>796</v>
      </c>
      <c r="AD199" s="224"/>
      <c r="AE199" s="298">
        <f>SUM(AE161:AE198)</f>
        <v>0</v>
      </c>
      <c r="AF199" s="298">
        <f>SUM(AF161:AF198)</f>
        <v>0</v>
      </c>
      <c r="AI199" s="304"/>
      <c r="AJ199" s="304"/>
      <c r="AK199" s="304"/>
      <c r="AL199" s="304"/>
      <c r="AM199" s="304"/>
      <c r="AN199" s="304"/>
      <c r="AO199" s="304"/>
      <c r="AP199" s="304"/>
      <c r="AQ199" s="304"/>
      <c r="AR199" s="304"/>
    </row>
    <row r="200" spans="2:44" x14ac:dyDescent="0.25">
      <c r="B200" s="224"/>
      <c r="D200" s="224"/>
      <c r="E200" s="274"/>
      <c r="F200" s="224"/>
      <c r="G200" s="224"/>
      <c r="H200" s="224"/>
      <c r="L200" s="304" t="s">
        <v>790</v>
      </c>
      <c r="M200" s="304"/>
      <c r="N200" s="304"/>
      <c r="O200" s="304"/>
      <c r="P200" s="304"/>
      <c r="Q200" s="304"/>
      <c r="R200" s="304"/>
      <c r="S200" s="304"/>
      <c r="T200" s="304"/>
      <c r="U200" s="304"/>
    </row>
    <row r="201" spans="2:44" x14ac:dyDescent="0.25">
      <c r="D201" s="224"/>
      <c r="E201" s="274"/>
      <c r="F201" s="224"/>
      <c r="G201" s="224"/>
      <c r="H201" s="224"/>
      <c r="L201" s="304"/>
      <c r="M201" s="304"/>
      <c r="N201" s="304"/>
      <c r="O201" s="304"/>
      <c r="P201" s="304"/>
      <c r="Q201" s="304"/>
      <c r="R201" s="304"/>
      <c r="S201" s="304"/>
      <c r="T201" s="304"/>
      <c r="U201" s="304"/>
    </row>
    <row r="202" spans="2:44" x14ac:dyDescent="0.25">
      <c r="B202" s="400" t="s">
        <v>903</v>
      </c>
      <c r="C202" s="401">
        <v>0.05</v>
      </c>
      <c r="D202" s="224"/>
      <c r="E202" s="274"/>
      <c r="F202" s="224"/>
      <c r="G202" s="224"/>
      <c r="H202" s="224"/>
      <c r="L202" s="304" t="s">
        <v>792</v>
      </c>
      <c r="M202" s="304"/>
      <c r="N202" s="304"/>
      <c r="O202" s="304"/>
      <c r="P202" s="304"/>
      <c r="Q202" s="304"/>
      <c r="R202" s="304"/>
      <c r="S202" s="304"/>
      <c r="T202" s="304"/>
      <c r="U202" s="304"/>
    </row>
    <row r="203" spans="2:44" x14ac:dyDescent="0.25">
      <c r="H203" s="224"/>
      <c r="L203" s="304"/>
      <c r="M203" s="304"/>
      <c r="N203" s="304"/>
      <c r="O203" s="304"/>
      <c r="P203" s="304"/>
      <c r="Q203" s="304"/>
      <c r="R203" s="304"/>
      <c r="S203" s="304"/>
      <c r="T203" s="304"/>
      <c r="U203" s="304"/>
    </row>
    <row r="204" spans="2:44" x14ac:dyDescent="0.25">
      <c r="H204" s="224"/>
      <c r="L204" s="304" t="s">
        <v>793</v>
      </c>
      <c r="M204" s="304"/>
      <c r="N204" s="304"/>
      <c r="O204" s="304"/>
      <c r="P204" s="304"/>
      <c r="Q204" s="304"/>
      <c r="R204" s="304"/>
      <c r="S204" s="304"/>
      <c r="T204" s="304"/>
      <c r="U204" s="304"/>
    </row>
    <row r="205" spans="2:44" ht="21" x14ac:dyDescent="0.35">
      <c r="B205" s="396" t="s">
        <v>897</v>
      </c>
      <c r="C205" s="397" t="s">
        <v>620</v>
      </c>
      <c r="D205" s="398" t="s">
        <v>993</v>
      </c>
      <c r="E205" s="399" t="s">
        <v>904</v>
      </c>
      <c r="G205" s="396" t="s">
        <v>897</v>
      </c>
      <c r="H205" s="397" t="s">
        <v>621</v>
      </c>
      <c r="I205" s="398" t="s">
        <v>993</v>
      </c>
      <c r="J205" s="399" t="s">
        <v>904</v>
      </c>
      <c r="L205" s="304" t="s">
        <v>798</v>
      </c>
      <c r="M205" s="304"/>
      <c r="N205" s="304"/>
      <c r="O205" s="304"/>
      <c r="P205" s="304"/>
      <c r="Q205" s="304"/>
      <c r="R205" s="304"/>
      <c r="S205" s="304"/>
      <c r="T205" s="304"/>
    </row>
    <row r="206" spans="2:44" ht="15.75" x14ac:dyDescent="0.25">
      <c r="B206" s="393" t="s">
        <v>898</v>
      </c>
      <c r="C206" s="394"/>
      <c r="D206" s="395">
        <f>I86</f>
        <v>11532.892800000001</v>
      </c>
      <c r="E206" s="395">
        <f>D206/$D$3</f>
        <v>115.32892800000002</v>
      </c>
      <c r="F206" s="224"/>
      <c r="G206" s="275" t="s">
        <v>898</v>
      </c>
      <c r="H206" s="275"/>
      <c r="I206" s="276">
        <f>I86</f>
        <v>11532.892800000001</v>
      </c>
      <c r="J206" s="276">
        <f>I206/$D$3</f>
        <v>115.32892800000002</v>
      </c>
      <c r="L206" s="304" t="s">
        <v>799</v>
      </c>
      <c r="M206" s="304"/>
      <c r="N206" s="304"/>
      <c r="O206" s="304"/>
      <c r="P206" s="304"/>
      <c r="Q206" s="304"/>
      <c r="R206" s="304"/>
      <c r="S206" s="304"/>
      <c r="T206" s="304"/>
    </row>
    <row r="207" spans="2:44" ht="15.75" x14ac:dyDescent="0.25">
      <c r="B207" s="278" t="s">
        <v>797</v>
      </c>
      <c r="C207" s="279"/>
      <c r="D207" s="280">
        <f>C15</f>
        <v>5692.74</v>
      </c>
      <c r="E207" s="280">
        <f t="shared" ref="E207:E212" si="49">D207/$D$3</f>
        <v>56.927399999999999</v>
      </c>
      <c r="F207" s="224"/>
      <c r="G207" s="278" t="s">
        <v>797</v>
      </c>
      <c r="H207" s="278"/>
      <c r="I207" s="280">
        <f>C15</f>
        <v>5692.74</v>
      </c>
      <c r="J207" s="280">
        <f t="shared" ref="J207:J212" si="50">I207/$D$3</f>
        <v>56.927399999999999</v>
      </c>
      <c r="L207" s="294"/>
    </row>
    <row r="208" spans="2:44" ht="15.75" x14ac:dyDescent="0.25">
      <c r="B208" s="281" t="s">
        <v>899</v>
      </c>
      <c r="C208" s="282"/>
      <c r="D208" s="283">
        <f>H102</f>
        <v>118.51645833333333</v>
      </c>
      <c r="E208" s="283">
        <f t="shared" si="49"/>
        <v>1.1851645833333333</v>
      </c>
      <c r="F208" s="224"/>
      <c r="G208" s="281" t="s">
        <v>899</v>
      </c>
      <c r="H208" s="281"/>
      <c r="I208" s="283">
        <f>H102</f>
        <v>118.51645833333333</v>
      </c>
      <c r="J208" s="283">
        <f t="shared" si="50"/>
        <v>1.1851645833333333</v>
      </c>
      <c r="M208" s="294"/>
    </row>
    <row r="209" spans="2:10" ht="15.75" x14ac:dyDescent="0.25">
      <c r="B209" s="284" t="s">
        <v>880</v>
      </c>
      <c r="C209" s="282"/>
      <c r="D209" s="283">
        <f>N121</f>
        <v>479.93999999999994</v>
      </c>
      <c r="E209" s="283">
        <f t="shared" si="49"/>
        <v>4.7993999999999994</v>
      </c>
      <c r="F209" s="224"/>
      <c r="G209" s="284" t="s">
        <v>880</v>
      </c>
      <c r="H209" s="284"/>
      <c r="I209" s="283">
        <f>N121</f>
        <v>479.93999999999994</v>
      </c>
      <c r="J209" s="283">
        <f t="shared" si="50"/>
        <v>4.7993999999999994</v>
      </c>
    </row>
    <row r="210" spans="2:10" ht="15.75" x14ac:dyDescent="0.25">
      <c r="B210" s="284" t="s">
        <v>881</v>
      </c>
      <c r="C210" s="282"/>
      <c r="D210" s="283">
        <f>K130</f>
        <v>4.5030000000000001</v>
      </c>
      <c r="E210" s="283">
        <f t="shared" si="49"/>
        <v>4.5030000000000001E-2</v>
      </c>
      <c r="G210" s="284" t="s">
        <v>881</v>
      </c>
      <c r="H210" s="284"/>
      <c r="I210" s="283">
        <f>K130</f>
        <v>4.5030000000000001</v>
      </c>
      <c r="J210" s="283">
        <f t="shared" si="50"/>
        <v>4.5030000000000001E-2</v>
      </c>
    </row>
    <row r="211" spans="2:10" ht="15.75" x14ac:dyDescent="0.25">
      <c r="B211" s="284" t="s">
        <v>872</v>
      </c>
      <c r="C211" s="282"/>
      <c r="D211" s="283">
        <f>E121+I121</f>
        <v>60</v>
      </c>
      <c r="E211" s="283">
        <f t="shared" si="49"/>
        <v>0.6</v>
      </c>
      <c r="F211" s="224"/>
      <c r="G211" s="284" t="s">
        <v>872</v>
      </c>
      <c r="H211" s="284"/>
      <c r="I211" s="283">
        <f>E121+I121</f>
        <v>60</v>
      </c>
      <c r="J211" s="283">
        <f t="shared" si="50"/>
        <v>0.6</v>
      </c>
    </row>
    <row r="212" spans="2:10" ht="15.75" x14ac:dyDescent="0.25">
      <c r="B212" s="285" t="s">
        <v>755</v>
      </c>
      <c r="C212" s="286"/>
      <c r="D212" s="287">
        <f>I199</f>
        <v>0</v>
      </c>
      <c r="E212" s="287">
        <f t="shared" si="49"/>
        <v>0</v>
      </c>
      <c r="F212" s="224"/>
      <c r="G212" s="285" t="s">
        <v>754</v>
      </c>
      <c r="H212" s="285"/>
      <c r="I212" s="287">
        <f>AF199</f>
        <v>0</v>
      </c>
      <c r="J212" s="287">
        <f t="shared" si="50"/>
        <v>0</v>
      </c>
    </row>
    <row r="213" spans="2:10" ht="15.75" x14ac:dyDescent="0.25">
      <c r="B213" s="288" t="s">
        <v>900</v>
      </c>
      <c r="C213" s="289"/>
      <c r="D213" s="290">
        <f>SUM(D207:D212)</f>
        <v>6355.6994583333326</v>
      </c>
      <c r="E213" s="290">
        <f>D213/$D$3</f>
        <v>63.556994583333328</v>
      </c>
      <c r="F213" s="224"/>
      <c r="G213" s="288" t="s">
        <v>900</v>
      </c>
      <c r="H213" s="288"/>
      <c r="I213" s="290">
        <f>SUM(I207:I212)</f>
        <v>6355.6994583333326</v>
      </c>
      <c r="J213" s="290">
        <f>I213/$D$3</f>
        <v>63.556994583333328</v>
      </c>
    </row>
    <row r="214" spans="2:10" x14ac:dyDescent="0.25">
      <c r="B214" s="208"/>
      <c r="C214" s="208"/>
      <c r="D214" s="208"/>
      <c r="E214" s="208"/>
      <c r="G214" s="208"/>
      <c r="H214" s="208"/>
      <c r="I214" s="208"/>
      <c r="J214" s="208"/>
    </row>
    <row r="215" spans="2:10" ht="15.75" x14ac:dyDescent="0.25">
      <c r="B215" s="291" t="s">
        <v>901</v>
      </c>
      <c r="C215" s="292"/>
      <c r="D215" s="293">
        <f>D206-D213</f>
        <v>5177.1933416666689</v>
      </c>
      <c r="E215" s="293">
        <f>D215/$D$3</f>
        <v>51.771933416666691</v>
      </c>
      <c r="G215" s="291" t="s">
        <v>901</v>
      </c>
      <c r="H215" s="291"/>
      <c r="I215" s="293">
        <f>I206-I213</f>
        <v>5177.1933416666689</v>
      </c>
      <c r="J215" s="293">
        <f>I215/$D$3</f>
        <v>51.771933416666691</v>
      </c>
    </row>
    <row r="216" spans="2:10" x14ac:dyDescent="0.25">
      <c r="D216" s="224"/>
      <c r="E216" s="224"/>
      <c r="F216" s="224"/>
      <c r="I216" s="224"/>
      <c r="J216" s="224"/>
    </row>
    <row r="217" spans="2:10" ht="15.75" x14ac:dyDescent="0.25">
      <c r="B217" s="291" t="s">
        <v>675</v>
      </c>
      <c r="C217" s="292"/>
      <c r="D217" s="293">
        <f>IF($C$23&gt;365,$D$215-($C$15*$C$202),$D$215-($C$15*$C$202*$C$23/365))</f>
        <v>4892.5563416666691</v>
      </c>
      <c r="E217" s="293">
        <f>D217/D3</f>
        <v>48.925563416666691</v>
      </c>
      <c r="F217" s="224"/>
      <c r="G217" s="291" t="s">
        <v>902</v>
      </c>
      <c r="H217" s="291"/>
      <c r="I217" s="293">
        <f>IF($C$23&gt;365,$I$215-($C$15*$C$202),$I$215-($C$15*$C$202*$C$23/365))</f>
        <v>4892.5563416666691</v>
      </c>
      <c r="J217" s="293">
        <f>I217/D3</f>
        <v>48.925563416666691</v>
      </c>
    </row>
    <row r="218" spans="2:10" x14ac:dyDescent="0.25">
      <c r="D218" s="224"/>
      <c r="E218" s="224"/>
      <c r="F218" s="224"/>
      <c r="I218" s="224"/>
      <c r="J218" s="224"/>
    </row>
    <row r="219" spans="2:10" ht="15.75" x14ac:dyDescent="0.25">
      <c r="B219"/>
      <c r="C219"/>
      <c r="E219" s="277"/>
      <c r="F219" s="224"/>
      <c r="G219"/>
      <c r="H219"/>
      <c r="J219" s="277"/>
    </row>
    <row r="220" spans="2:10" x14ac:dyDescent="0.25">
      <c r="B220" s="224"/>
      <c r="C220" s="224"/>
      <c r="D220" s="224"/>
      <c r="E220" s="224"/>
      <c r="F220" s="224"/>
      <c r="G220" s="224"/>
      <c r="H220" s="224"/>
      <c r="I220" s="224"/>
      <c r="J220" s="224"/>
    </row>
    <row r="221" spans="2:10" ht="15.75" x14ac:dyDescent="0.25">
      <c r="B221"/>
      <c r="C221"/>
      <c r="D221"/>
      <c r="E221"/>
      <c r="F221"/>
      <c r="G221"/>
      <c r="H221"/>
      <c r="I221"/>
      <c r="J221" s="277"/>
    </row>
    <row r="222" spans="2:10" ht="15.75" x14ac:dyDescent="0.25">
      <c r="B222" s="291" t="s">
        <v>759</v>
      </c>
      <c r="C222" s="292"/>
      <c r="D222" s="335">
        <f>IF(C23&gt;365,C23*C22*C97/D3*365/C23,C23*C22*C97/D3)</f>
        <v>52.648103448275862</v>
      </c>
      <c r="E222"/>
      <c r="F222"/>
      <c r="G222"/>
      <c r="H222"/>
      <c r="I222"/>
      <c r="J222" s="224"/>
    </row>
    <row r="223" spans="2:10" ht="15.75" x14ac:dyDescent="0.25">
      <c r="B223"/>
      <c r="C223"/>
      <c r="D223"/>
      <c r="E223"/>
      <c r="F223"/>
      <c r="G223"/>
      <c r="H223"/>
      <c r="I223"/>
      <c r="J223" s="277"/>
    </row>
    <row r="228" spans="2:12" ht="15.75" x14ac:dyDescent="0.25">
      <c r="B228"/>
      <c r="C228"/>
      <c r="D228"/>
    </row>
    <row r="229" spans="2:12" ht="16.5" thickBot="1" x14ac:dyDescent="0.3">
      <c r="B229"/>
      <c r="C229"/>
      <c r="D229"/>
    </row>
    <row r="230" spans="2:12" ht="16.5" thickBot="1" x14ac:dyDescent="0.3">
      <c r="B230" s="360" t="s">
        <v>667</v>
      </c>
      <c r="C230" s="392" t="s">
        <v>668</v>
      </c>
      <c r="D230"/>
      <c r="F230" s="350"/>
      <c r="G230" s="351" t="s">
        <v>760</v>
      </c>
      <c r="H230" s="352"/>
      <c r="I230" s="353"/>
      <c r="J230" s="351" t="s">
        <v>761</v>
      </c>
      <c r="K230" s="352"/>
      <c r="L230" s="353"/>
    </row>
    <row r="231" spans="2:12" ht="15.75" x14ac:dyDescent="0.25">
      <c r="B231" s="343" t="s">
        <v>661</v>
      </c>
      <c r="C231" s="200">
        <f>H154</f>
        <v>28.337832449990202</v>
      </c>
      <c r="D231"/>
      <c r="F231" s="354"/>
      <c r="G231" s="355" t="s">
        <v>762</v>
      </c>
      <c r="H231" s="355" t="s">
        <v>763</v>
      </c>
      <c r="I231" s="355" t="s">
        <v>764</v>
      </c>
      <c r="J231" s="355" t="s">
        <v>765</v>
      </c>
      <c r="K231" s="355" t="s">
        <v>766</v>
      </c>
      <c r="L231" s="355" t="s">
        <v>767</v>
      </c>
    </row>
    <row r="232" spans="2:12" ht="16.5" thickBot="1" x14ac:dyDescent="0.3">
      <c r="B232" s="343" t="s">
        <v>669</v>
      </c>
      <c r="C232" s="197">
        <v>3650</v>
      </c>
      <c r="D232" t="s">
        <v>803</v>
      </c>
      <c r="F232" s="356" t="s">
        <v>768</v>
      </c>
      <c r="G232" s="357">
        <v>1000</v>
      </c>
      <c r="H232" s="357">
        <v>1000</v>
      </c>
      <c r="I232" s="357">
        <v>1000</v>
      </c>
      <c r="J232" s="357">
        <v>1000</v>
      </c>
      <c r="K232" s="357">
        <v>1000</v>
      </c>
      <c r="L232" s="357">
        <v>1000</v>
      </c>
    </row>
    <row r="233" spans="2:12" ht="16.5" thickBot="1" x14ac:dyDescent="0.3">
      <c r="B233" s="343" t="s">
        <v>670</v>
      </c>
      <c r="C233" s="226">
        <f>C232*C231</f>
        <v>103433.08844246424</v>
      </c>
      <c r="D233" t="s">
        <v>666</v>
      </c>
      <c r="F233" s="344" t="s">
        <v>769</v>
      </c>
      <c r="G233" s="345">
        <v>0.4</v>
      </c>
      <c r="H233" s="346">
        <v>0.3</v>
      </c>
      <c r="I233" s="347">
        <v>0.4</v>
      </c>
      <c r="J233" s="348">
        <v>0.3</v>
      </c>
      <c r="K233" s="347">
        <v>0.3</v>
      </c>
      <c r="L233" s="349">
        <v>0.3</v>
      </c>
    </row>
    <row r="234" spans="2:12" ht="15.75" x14ac:dyDescent="0.25">
      <c r="B234" s="334" t="s">
        <v>671</v>
      </c>
      <c r="C234" s="198">
        <v>0.3</v>
      </c>
      <c r="D234"/>
      <c r="F234"/>
      <c r="G234"/>
      <c r="H234"/>
      <c r="I234"/>
      <c r="J234"/>
      <c r="K234"/>
      <c r="L234"/>
    </row>
    <row r="235" spans="2:12" ht="15.75" x14ac:dyDescent="0.25">
      <c r="B235" s="334" t="s">
        <v>662</v>
      </c>
      <c r="C235" s="226">
        <f>C233*1/C234</f>
        <v>344776.96147488081</v>
      </c>
      <c r="D235" t="s">
        <v>666</v>
      </c>
    </row>
    <row r="236" spans="2:12" ht="15.75" x14ac:dyDescent="0.25">
      <c r="B236" s="343" t="s">
        <v>672</v>
      </c>
      <c r="C236" s="226">
        <f>D3</f>
        <v>100</v>
      </c>
      <c r="D236" t="s">
        <v>1000</v>
      </c>
    </row>
    <row r="237" spans="2:12" ht="15.75" x14ac:dyDescent="0.25">
      <c r="B237" s="343" t="s">
        <v>663</v>
      </c>
      <c r="C237" s="226">
        <f>C235/C236</f>
        <v>3447.7696147488082</v>
      </c>
      <c r="D237" t="s">
        <v>802</v>
      </c>
    </row>
    <row r="238" spans="2:12" ht="15.75" x14ac:dyDescent="0.25">
      <c r="B238" s="343" t="s">
        <v>664</v>
      </c>
      <c r="C238" s="197">
        <v>1000</v>
      </c>
      <c r="D238" t="s">
        <v>802</v>
      </c>
    </row>
    <row r="239" spans="2:12" ht="15.75" x14ac:dyDescent="0.25">
      <c r="B239" s="343" t="s">
        <v>665</v>
      </c>
      <c r="C239" s="226">
        <f>C238+C237</f>
        <v>4447.7696147488077</v>
      </c>
      <c r="D239" t="s">
        <v>802</v>
      </c>
    </row>
    <row r="240" spans="2:12" ht="15.75" x14ac:dyDescent="0.25">
      <c r="B240" s="337"/>
      <c r="C240" s="338"/>
      <c r="D240"/>
    </row>
    <row r="242" spans="2:11" ht="15.75" x14ac:dyDescent="0.25">
      <c r="B242"/>
      <c r="C242"/>
      <c r="D242"/>
      <c r="E242"/>
    </row>
    <row r="243" spans="2:11" ht="15.75" x14ac:dyDescent="0.25">
      <c r="B243"/>
      <c r="C243"/>
      <c r="D243"/>
      <c r="E243"/>
      <c r="F243"/>
      <c r="G243"/>
      <c r="H243"/>
      <c r="I243"/>
      <c r="J243"/>
      <c r="K243"/>
    </row>
    <row r="244" spans="2:11" ht="15.75" x14ac:dyDescent="0.25">
      <c r="B244"/>
      <c r="C244"/>
      <c r="D244"/>
      <c r="E244"/>
      <c r="F244"/>
      <c r="G244"/>
      <c r="H244"/>
      <c r="I244"/>
      <c r="J244"/>
      <c r="K244"/>
    </row>
    <row r="245" spans="2:11" ht="15.75" x14ac:dyDescent="0.25">
      <c r="C245"/>
      <c r="D245"/>
      <c r="E245"/>
      <c r="F245"/>
      <c r="G245"/>
      <c r="H245"/>
      <c r="I245"/>
      <c r="J245"/>
      <c r="K245"/>
    </row>
    <row r="246" spans="2:11" ht="15.75" x14ac:dyDescent="0.25">
      <c r="E246"/>
      <c r="F246"/>
      <c r="G246"/>
      <c r="H246"/>
      <c r="I246"/>
      <c r="J246"/>
      <c r="K246"/>
    </row>
    <row r="247" spans="2:11" ht="15.75" x14ac:dyDescent="0.25">
      <c r="E247"/>
      <c r="F247"/>
      <c r="G247"/>
      <c r="H247"/>
      <c r="I247"/>
      <c r="J247"/>
      <c r="K247"/>
    </row>
    <row r="248" spans="2:11" ht="15.75" x14ac:dyDescent="0.25">
      <c r="E248"/>
      <c r="F248"/>
      <c r="G248"/>
      <c r="H248"/>
      <c r="I248"/>
      <c r="J248"/>
      <c r="K248"/>
    </row>
    <row r="249" spans="2:11" ht="15.75" x14ac:dyDescent="0.25">
      <c r="E249"/>
      <c r="F249"/>
      <c r="G249"/>
      <c r="H249"/>
      <c r="I249"/>
      <c r="J249"/>
      <c r="K249"/>
    </row>
    <row r="250" spans="2:11" ht="15.75" x14ac:dyDescent="0.25">
      <c r="E250"/>
      <c r="F250"/>
      <c r="G250"/>
      <c r="H250"/>
      <c r="I250"/>
      <c r="J250"/>
      <c r="K250"/>
    </row>
    <row r="251" spans="2:11" ht="15.75" x14ac:dyDescent="0.25">
      <c r="E251"/>
      <c r="F251"/>
      <c r="G251"/>
      <c r="H251"/>
      <c r="I251"/>
      <c r="J251"/>
      <c r="K251"/>
    </row>
    <row r="252" spans="2:11" ht="15.75" x14ac:dyDescent="0.25">
      <c r="E252"/>
      <c r="F252"/>
      <c r="G252"/>
      <c r="H252"/>
      <c r="I252"/>
      <c r="J252"/>
      <c r="K252"/>
    </row>
    <row r="253" spans="2:11" ht="15.75" x14ac:dyDescent="0.25">
      <c r="E253"/>
      <c r="F253"/>
      <c r="G253"/>
      <c r="H253"/>
      <c r="I253"/>
      <c r="J253"/>
      <c r="K253"/>
    </row>
    <row r="254" spans="2:11" ht="15.75" x14ac:dyDescent="0.25">
      <c r="E254"/>
      <c r="F254"/>
      <c r="G254"/>
      <c r="H254"/>
      <c r="I254"/>
      <c r="J254"/>
      <c r="K254"/>
    </row>
    <row r="255" spans="2:11" ht="15.75" x14ac:dyDescent="0.25">
      <c r="E255"/>
      <c r="F255"/>
      <c r="G255"/>
      <c r="H255"/>
      <c r="I255"/>
      <c r="J255"/>
      <c r="K255"/>
    </row>
    <row r="256" spans="2:11" ht="15.75" x14ac:dyDescent="0.25">
      <c r="B256"/>
      <c r="C256"/>
      <c r="D256"/>
      <c r="E256"/>
      <c r="F256"/>
      <c r="G256"/>
      <c r="H256"/>
      <c r="I256"/>
      <c r="J256"/>
      <c r="K256"/>
    </row>
    <row r="257" spans="2:11" ht="15.75" x14ac:dyDescent="0.25">
      <c r="B257"/>
      <c r="C257"/>
      <c r="D257"/>
      <c r="E257"/>
      <c r="F257"/>
      <c r="G257"/>
      <c r="H257"/>
      <c r="I257"/>
      <c r="J257"/>
      <c r="K257"/>
    </row>
    <row r="258" spans="2:11" ht="15.75" x14ac:dyDescent="0.25">
      <c r="B258"/>
      <c r="C258"/>
      <c r="D258"/>
      <c r="E258"/>
      <c r="F258"/>
      <c r="G258"/>
      <c r="H258"/>
      <c r="I258"/>
      <c r="J258"/>
      <c r="K258"/>
    </row>
    <row r="259" spans="2:11" ht="15.75" x14ac:dyDescent="0.25">
      <c r="B259"/>
      <c r="C259"/>
      <c r="D259"/>
      <c r="E259"/>
      <c r="F259"/>
      <c r="G259"/>
      <c r="H259"/>
      <c r="I259"/>
      <c r="J259"/>
      <c r="K259"/>
    </row>
    <row r="260" spans="2:11" ht="15.75" x14ac:dyDescent="0.25">
      <c r="B260"/>
      <c r="C260"/>
      <c r="D260"/>
      <c r="E260"/>
      <c r="F260"/>
      <c r="G260"/>
      <c r="H260"/>
      <c r="I260"/>
      <c r="J260"/>
      <c r="K260"/>
    </row>
    <row r="261" spans="2:11" ht="15.75" x14ac:dyDescent="0.25">
      <c r="B261"/>
      <c r="C261"/>
      <c r="D261"/>
      <c r="E261"/>
      <c r="F261"/>
      <c r="G261"/>
      <c r="H261"/>
      <c r="I261"/>
      <c r="J261"/>
      <c r="K261"/>
    </row>
    <row r="262" spans="2:11" ht="15.75" x14ac:dyDescent="0.25">
      <c r="B262"/>
      <c r="C262"/>
      <c r="D262"/>
      <c r="E262"/>
      <c r="F262"/>
      <c r="G262"/>
      <c r="H262"/>
      <c r="I262"/>
      <c r="J262"/>
      <c r="K262"/>
    </row>
    <row r="263" spans="2:11" ht="15.75" x14ac:dyDescent="0.25">
      <c r="B263"/>
      <c r="C263"/>
      <c r="D263"/>
      <c r="E263"/>
      <c r="F263"/>
      <c r="G263"/>
      <c r="H263"/>
      <c r="I263"/>
      <c r="J263"/>
      <c r="K263"/>
    </row>
    <row r="264" spans="2:11" ht="15.75" x14ac:dyDescent="0.25">
      <c r="B264"/>
      <c r="C264"/>
      <c r="D264"/>
      <c r="E264"/>
      <c r="F264"/>
      <c r="G264"/>
      <c r="H264"/>
      <c r="I264"/>
      <c r="J264"/>
      <c r="K264"/>
    </row>
    <row r="265" spans="2:11" ht="15.75" x14ac:dyDescent="0.25">
      <c r="B265"/>
      <c r="C265"/>
      <c r="D265"/>
      <c r="E265"/>
      <c r="F265"/>
      <c r="G265"/>
      <c r="H265"/>
      <c r="I265"/>
      <c r="J265"/>
      <c r="K265"/>
    </row>
    <row r="266" spans="2:11" ht="15.75" x14ac:dyDescent="0.25">
      <c r="B266"/>
      <c r="C266"/>
      <c r="D266"/>
      <c r="E266"/>
      <c r="F266"/>
      <c r="G266"/>
      <c r="H266"/>
      <c r="I266"/>
      <c r="J266"/>
      <c r="K266"/>
    </row>
    <row r="267" spans="2:11" ht="15.75" x14ac:dyDescent="0.25">
      <c r="B267"/>
      <c r="C267"/>
      <c r="D267"/>
      <c r="E267"/>
      <c r="F267"/>
      <c r="G267"/>
      <c r="H267"/>
      <c r="I267"/>
      <c r="J267"/>
      <c r="K267"/>
    </row>
    <row r="268" spans="2:11" ht="15.75" x14ac:dyDescent="0.25">
      <c r="B268"/>
      <c r="C268"/>
      <c r="D268"/>
      <c r="E268"/>
      <c r="F268"/>
      <c r="G268"/>
      <c r="H268"/>
      <c r="I268"/>
      <c r="J268"/>
      <c r="K268"/>
    </row>
    <row r="269" spans="2:11" ht="15.75" x14ac:dyDescent="0.25">
      <c r="B269"/>
      <c r="C269"/>
      <c r="D269"/>
      <c r="E269"/>
      <c r="F269"/>
      <c r="G269"/>
      <c r="H269"/>
      <c r="I269"/>
      <c r="J269"/>
      <c r="K269"/>
    </row>
    <row r="270" spans="2:11" ht="15.75" x14ac:dyDescent="0.25">
      <c r="B270"/>
      <c r="C270"/>
      <c r="D270"/>
      <c r="E270"/>
      <c r="F270"/>
      <c r="G270"/>
      <c r="H270"/>
      <c r="I270"/>
      <c r="J270"/>
      <c r="K270"/>
    </row>
    <row r="271" spans="2:11" ht="15.75" x14ac:dyDescent="0.25">
      <c r="B271"/>
      <c r="C271"/>
      <c r="D271"/>
      <c r="E271"/>
      <c r="F271"/>
      <c r="G271"/>
      <c r="H271"/>
      <c r="I271"/>
      <c r="J271"/>
      <c r="K271"/>
    </row>
    <row r="272" spans="2:11" ht="15.75" x14ac:dyDescent="0.25">
      <c r="B272"/>
      <c r="C272"/>
      <c r="D272"/>
      <c r="E272"/>
      <c r="F272"/>
      <c r="G272"/>
      <c r="H272"/>
      <c r="I272"/>
      <c r="J272"/>
      <c r="K272"/>
    </row>
    <row r="273" spans="2:11" ht="15.75" x14ac:dyDescent="0.25">
      <c r="B273"/>
      <c r="C273"/>
      <c r="D273"/>
      <c r="E273"/>
      <c r="F273"/>
      <c r="G273"/>
      <c r="H273"/>
      <c r="I273"/>
      <c r="J273"/>
      <c r="K273"/>
    </row>
    <row r="274" spans="2:11" ht="15.75" x14ac:dyDescent="0.25">
      <c r="B274"/>
      <c r="C274"/>
      <c r="D274"/>
      <c r="E274"/>
      <c r="F274"/>
      <c r="G274"/>
      <c r="H274"/>
      <c r="I274"/>
      <c r="J274"/>
      <c r="K274"/>
    </row>
  </sheetData>
  <mergeCells count="19">
    <mergeCell ref="M6:O6"/>
    <mergeCell ref="M7:N7"/>
    <mergeCell ref="M8:N8"/>
    <mergeCell ref="M9:N9"/>
    <mergeCell ref="M10:N10"/>
    <mergeCell ref="K25:L25"/>
    <mergeCell ref="C25:D25"/>
    <mergeCell ref="E25:F25"/>
    <mergeCell ref="G25:H25"/>
    <mergeCell ref="I25:J25"/>
    <mergeCell ref="M11:N11"/>
    <mergeCell ref="M12:N12"/>
    <mergeCell ref="M13:N13"/>
    <mergeCell ref="M18:N18"/>
    <mergeCell ref="M19:N19"/>
    <mergeCell ref="M14:N14"/>
    <mergeCell ref="M15:N15"/>
    <mergeCell ref="M16:N16"/>
    <mergeCell ref="M17:N17"/>
  </mergeCells>
  <phoneticPr fontId="15" type="noConversion"/>
  <pageMargins left="0.75" right="0.75" top="1" bottom="1" header="0.5" footer="0.5"/>
  <pageSetup paperSize="9"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R223"/>
  <sheetViews>
    <sheetView showGridLines="0" zoomScale="55" workbookViewId="0"/>
  </sheetViews>
  <sheetFormatPr defaultColWidth="8.77734375" defaultRowHeight="15" x14ac:dyDescent="0.2"/>
  <cols>
    <col min="1" max="1" width="14.6640625" style="419" customWidth="1"/>
    <col min="2" max="2" width="15.6640625" style="419" customWidth="1"/>
    <col min="3" max="3" width="31" style="419" customWidth="1"/>
    <col min="4" max="4" width="25.44140625" style="419" bestFit="1" customWidth="1"/>
    <col min="5" max="5" width="27.77734375" style="419" customWidth="1"/>
    <col min="6" max="6" width="30" style="419" customWidth="1"/>
    <col min="7" max="7" width="26.44140625" style="419" customWidth="1"/>
    <col min="8" max="8" width="26.6640625" style="419" customWidth="1"/>
    <col min="9" max="9" width="20.88671875" style="419" bestFit="1" customWidth="1"/>
    <col min="10" max="10" width="23.77734375" style="419" customWidth="1"/>
    <col min="11" max="11" width="21.77734375" style="419" customWidth="1"/>
    <col min="12" max="12" width="21.21875" style="419" customWidth="1"/>
    <col min="13" max="13" width="20.88671875" style="419" customWidth="1"/>
    <col min="14" max="17" width="16.109375" style="419" customWidth="1"/>
    <col min="18" max="18" width="21" style="419" customWidth="1"/>
    <col min="19" max="19" width="16.88671875" style="419" customWidth="1"/>
    <col min="20" max="20" width="19.109375" style="419" customWidth="1"/>
    <col min="21" max="21" width="18.6640625" style="419" customWidth="1"/>
    <col min="22" max="22" width="13.5546875" style="419" customWidth="1"/>
    <col min="23" max="23" width="13" style="419" customWidth="1"/>
    <col min="24" max="24" width="12.109375" style="419" customWidth="1"/>
    <col min="25" max="25" width="40.109375" style="419" bestFit="1" customWidth="1"/>
    <col min="26" max="26" width="25.33203125" style="419" bestFit="1" customWidth="1"/>
    <col min="27" max="27" width="15.88671875" style="422" bestFit="1" customWidth="1"/>
    <col min="28" max="28" width="14" style="422" customWidth="1"/>
    <col min="29" max="29" width="23.33203125" style="422" bestFit="1" customWidth="1"/>
    <col min="30" max="30" width="17.77734375" style="422" customWidth="1"/>
    <col min="31" max="31" width="12.109375" style="422" bestFit="1" customWidth="1"/>
    <col min="32" max="32" width="12.33203125" style="422" customWidth="1"/>
    <col min="33" max="34" width="8.77734375" style="419"/>
    <col min="35" max="35" width="38.109375" style="419" bestFit="1" customWidth="1"/>
    <col min="36" max="36" width="21.44140625" style="419" bestFit="1" customWidth="1"/>
    <col min="37" max="37" width="32.109375" style="419" customWidth="1"/>
    <col min="38" max="38" width="30.88671875" style="419" bestFit="1" customWidth="1"/>
    <col min="39" max="39" width="19" style="419" bestFit="1" customWidth="1"/>
    <col min="40" max="40" width="8.77734375" style="419"/>
    <col min="41" max="41" width="17.6640625" style="419" customWidth="1"/>
    <col min="42" max="42" width="12.109375" style="419" bestFit="1" customWidth="1"/>
    <col min="43" max="43" width="18.44140625" style="419" bestFit="1" customWidth="1"/>
    <col min="44" max="16384" width="8.77734375" style="419"/>
  </cols>
  <sheetData>
    <row r="1" spans="1:28" ht="15.75" thickBot="1" x14ac:dyDescent="0.25"/>
    <row r="2" spans="1:28" ht="20.25" x14ac:dyDescent="0.3">
      <c r="B2" s="545" t="s">
        <v>246</v>
      </c>
      <c r="F2" s="560" t="s">
        <v>1025</v>
      </c>
      <c r="G2" s="561"/>
    </row>
    <row r="3" spans="1:28" ht="15.75" x14ac:dyDescent="0.25">
      <c r="A3" s="446"/>
      <c r="F3" s="562" t="s">
        <v>1026</v>
      </c>
      <c r="G3" s="563"/>
    </row>
    <row r="4" spans="1:28" ht="13.5" customHeight="1" x14ac:dyDescent="0.25">
      <c r="A4" s="446"/>
      <c r="F4" s="562" t="s">
        <v>1027</v>
      </c>
      <c r="G4" s="563"/>
    </row>
    <row r="5" spans="1:28" ht="16.5" thickBot="1" x14ac:dyDescent="0.3">
      <c r="B5" s="446" t="s">
        <v>800</v>
      </c>
      <c r="C5" s="416" t="str">
        <f>'Gross margin summary'!E15</f>
        <v>Leucaena</v>
      </c>
      <c r="D5" s="417"/>
      <c r="E5" s="446"/>
      <c r="F5" s="564" t="s">
        <v>1028</v>
      </c>
      <c r="G5" s="565"/>
    </row>
    <row r="7" spans="1:28" ht="18" customHeight="1" x14ac:dyDescent="0.2">
      <c r="A7" s="1"/>
      <c r="B7" s="1"/>
      <c r="C7" s="1"/>
      <c r="D7" s="1"/>
      <c r="E7" s="1"/>
      <c r="F7" s="1"/>
      <c r="G7" s="1"/>
      <c r="H7" s="1"/>
      <c r="I7" s="1"/>
      <c r="J7" s="1"/>
      <c r="K7" s="1"/>
      <c r="L7" s="1"/>
      <c r="M7" s="1"/>
      <c r="N7" s="1"/>
      <c r="O7" s="1"/>
      <c r="P7" s="1"/>
      <c r="Q7" s="1"/>
      <c r="R7" s="1"/>
      <c r="S7" s="1"/>
      <c r="T7" s="1"/>
      <c r="U7" s="1"/>
      <c r="V7" s="1"/>
      <c r="W7" s="1"/>
      <c r="X7" s="1"/>
      <c r="Y7" s="1"/>
      <c r="Z7" s="1"/>
      <c r="AA7" s="6"/>
    </row>
    <row r="8" spans="1:28" ht="18" customHeight="1" x14ac:dyDescent="0.2">
      <c r="A8" s="1"/>
      <c r="B8" s="1"/>
      <c r="C8" s="12" t="s">
        <v>689</v>
      </c>
      <c r="D8" s="546">
        <v>100</v>
      </c>
      <c r="E8" s="1" t="s">
        <v>1000</v>
      </c>
      <c r="L8" s="1"/>
      <c r="M8" s="1"/>
      <c r="O8" s="1"/>
      <c r="P8" s="1"/>
      <c r="Q8" s="1"/>
      <c r="R8" s="1"/>
      <c r="S8" s="1"/>
      <c r="T8" s="1"/>
      <c r="U8" s="1"/>
      <c r="V8" s="1"/>
      <c r="W8" s="1"/>
      <c r="X8" s="1"/>
      <c r="Y8" s="1"/>
      <c r="Z8" s="1"/>
      <c r="AA8" s="6"/>
    </row>
    <row r="9" spans="1:28" ht="18" customHeight="1" x14ac:dyDescent="0.2">
      <c r="A9" s="1"/>
      <c r="B9" s="1"/>
      <c r="C9" s="12" t="s">
        <v>373</v>
      </c>
      <c r="D9" s="546">
        <v>100</v>
      </c>
      <c r="E9" s="419" t="s">
        <v>1000</v>
      </c>
      <c r="F9" s="12"/>
      <c r="G9"/>
      <c r="H9"/>
      <c r="I9"/>
      <c r="J9"/>
      <c r="K9"/>
      <c r="L9" s="1"/>
      <c r="M9" s="1"/>
      <c r="O9" s="1"/>
      <c r="P9" s="1"/>
      <c r="Q9" s="443" t="s">
        <v>645</v>
      </c>
      <c r="R9" s="443"/>
      <c r="S9" s="443"/>
      <c r="T9" s="1"/>
      <c r="U9" s="1"/>
      <c r="V9" s="1"/>
      <c r="W9" s="1"/>
      <c r="X9" s="1"/>
      <c r="Y9" s="1"/>
      <c r="Z9" s="1"/>
      <c r="AA9" s="6"/>
    </row>
    <row r="10" spans="1:28" ht="18" customHeight="1" x14ac:dyDescent="0.2">
      <c r="A10" s="1"/>
      <c r="B10" s="1"/>
      <c r="C10" s="12" t="s">
        <v>690</v>
      </c>
      <c r="D10" s="421">
        <f>IF(D9&lt;=0,0,D9/D8)</f>
        <v>1</v>
      </c>
      <c r="F10" s="12"/>
      <c r="G10"/>
      <c r="H10"/>
      <c r="I10"/>
      <c r="J10"/>
      <c r="K10"/>
      <c r="L10" s="1"/>
      <c r="M10" s="1"/>
      <c r="O10" s="1"/>
      <c r="P10" s="1"/>
      <c r="Q10" s="1"/>
      <c r="R10" s="1"/>
      <c r="S10" s="1"/>
      <c r="T10" s="1"/>
      <c r="U10" s="1"/>
      <c r="V10" s="1"/>
      <c r="W10" s="1"/>
      <c r="X10" s="1"/>
      <c r="Y10" s="1"/>
      <c r="Z10" s="1"/>
      <c r="AA10" s="6"/>
    </row>
    <row r="11" spans="1:28" ht="18" customHeight="1" x14ac:dyDescent="0.25">
      <c r="A11" s="1"/>
      <c r="B11" s="1"/>
      <c r="C11" s="12"/>
      <c r="D11"/>
      <c r="E11" s="1"/>
      <c r="F11" s="12"/>
      <c r="G11"/>
      <c r="H11"/>
      <c r="I11"/>
      <c r="J11"/>
      <c r="K11"/>
      <c r="L11" s="1"/>
      <c r="M11" s="1"/>
      <c r="O11" s="1"/>
      <c r="P11" s="1"/>
      <c r="R11" s="544"/>
      <c r="S11" s="477" t="s">
        <v>698</v>
      </c>
      <c r="T11" s="477" t="s">
        <v>699</v>
      </c>
      <c r="U11" s="477" t="s">
        <v>700</v>
      </c>
      <c r="V11" s="477" t="s">
        <v>701</v>
      </c>
      <c r="W11" s="477" t="s">
        <v>702</v>
      </c>
      <c r="X11" s="477" t="s">
        <v>703</v>
      </c>
      <c r="Y11" s="1"/>
      <c r="Z11" s="424" t="s">
        <v>857</v>
      </c>
      <c r="AA11" s="425"/>
      <c r="AB11" s="6"/>
    </row>
    <row r="12" spans="1:28" ht="18" customHeight="1" x14ac:dyDescent="0.2">
      <c r="A12" s="1"/>
      <c r="B12" s="1"/>
      <c r="C12" s="1"/>
      <c r="D12" s="1"/>
      <c r="E12" s="1"/>
      <c r="F12" s="1"/>
      <c r="G12" s="1"/>
      <c r="H12" s="1"/>
      <c r="I12" s="1"/>
      <c r="J12" s="1"/>
      <c r="K12" s="1"/>
      <c r="L12" s="1"/>
      <c r="M12" s="423"/>
      <c r="N12" s="1"/>
      <c r="O12" s="1"/>
      <c r="P12" s="1"/>
      <c r="Q12" s="583" t="s">
        <v>646</v>
      </c>
      <c r="R12" s="584"/>
      <c r="S12" s="429">
        <f>F16</f>
        <v>383.72</v>
      </c>
      <c r="T12" s="429">
        <f>F17</f>
        <v>0</v>
      </c>
      <c r="U12" s="429">
        <f>F18</f>
        <v>0</v>
      </c>
      <c r="V12" s="429">
        <f>F19</f>
        <v>0</v>
      </c>
      <c r="W12" s="429">
        <f>F20</f>
        <v>0</v>
      </c>
      <c r="X12" s="429">
        <f>F21</f>
        <v>0</v>
      </c>
      <c r="Z12" s="427" t="s">
        <v>858</v>
      </c>
      <c r="AA12" s="427"/>
      <c r="AB12" s="6"/>
    </row>
    <row r="13" spans="1:28" ht="18" customHeight="1" x14ac:dyDescent="0.25">
      <c r="A13" s="1"/>
      <c r="B13" s="5" t="s">
        <v>691</v>
      </c>
      <c r="C13" s="1"/>
      <c r="D13" s="426" t="s">
        <v>376</v>
      </c>
      <c r="E13" s="426"/>
      <c r="F13" s="426"/>
      <c r="G13" s="426"/>
      <c r="H13" s="1"/>
      <c r="I13" s="1"/>
      <c r="J13" s="1"/>
      <c r="K13" s="1"/>
      <c r="L13" s="1"/>
      <c r="M13" s="1"/>
      <c r="N13" s="1"/>
      <c r="O13" s="1"/>
      <c r="P13" s="1"/>
      <c r="Q13" s="583" t="s">
        <v>647</v>
      </c>
      <c r="R13" s="584"/>
      <c r="S13" s="478">
        <v>0</v>
      </c>
      <c r="T13" s="478">
        <v>0</v>
      </c>
      <c r="U13" s="478">
        <v>0</v>
      </c>
      <c r="V13" s="478">
        <v>0</v>
      </c>
      <c r="W13" s="478">
        <v>0</v>
      </c>
      <c r="X13" s="478">
        <v>0</v>
      </c>
      <c r="Z13" s="428" t="s">
        <v>859</v>
      </c>
      <c r="AA13" s="419"/>
      <c r="AB13" s="6"/>
    </row>
    <row r="14" spans="1:28" ht="18" customHeight="1" x14ac:dyDescent="0.25">
      <c r="A14" s="1"/>
      <c r="B14" s="1"/>
      <c r="C14" s="1"/>
      <c r="D14" s="1"/>
      <c r="E14" s="1"/>
      <c r="F14" s="1"/>
      <c r="G14" s="1"/>
      <c r="H14" s="1"/>
      <c r="I14" s="1"/>
      <c r="J14" s="1"/>
      <c r="K14" s="1"/>
      <c r="L14" s="1"/>
      <c r="M14" s="1"/>
      <c r="N14" s="1"/>
      <c r="O14" s="1"/>
      <c r="P14" s="1"/>
      <c r="Q14" s="583" t="s">
        <v>648</v>
      </c>
      <c r="R14" s="584"/>
      <c r="S14" s="409">
        <f t="shared" ref="S14:X14" si="0">S12*(1-S13)</f>
        <v>383.72</v>
      </c>
      <c r="T14" s="409">
        <f t="shared" si="0"/>
        <v>0</v>
      </c>
      <c r="U14" s="409">
        <f t="shared" si="0"/>
        <v>0</v>
      </c>
      <c r="V14" s="409">
        <f t="shared" si="0"/>
        <v>0</v>
      </c>
      <c r="W14" s="409">
        <f t="shared" si="0"/>
        <v>0</v>
      </c>
      <c r="X14" s="409">
        <f t="shared" si="0"/>
        <v>0</v>
      </c>
      <c r="Z14" s="430" t="s">
        <v>492</v>
      </c>
      <c r="AA14" s="430" t="s">
        <v>493</v>
      </c>
      <c r="AB14" s="6"/>
    </row>
    <row r="15" spans="1:28" ht="30.75" x14ac:dyDescent="0.25">
      <c r="A15" s="1"/>
      <c r="B15" s="1"/>
      <c r="C15" s="407" t="s">
        <v>377</v>
      </c>
      <c r="D15" s="407" t="s">
        <v>692</v>
      </c>
      <c r="E15" s="407" t="s">
        <v>391</v>
      </c>
      <c r="F15" s="407" t="s">
        <v>693</v>
      </c>
      <c r="G15" s="407" t="s">
        <v>694</v>
      </c>
      <c r="H15" s="407" t="s">
        <v>695</v>
      </c>
      <c r="I15" s="407" t="s">
        <v>559</v>
      </c>
      <c r="J15" s="407" t="s">
        <v>560</v>
      </c>
      <c r="K15" s="407" t="s">
        <v>696</v>
      </c>
      <c r="L15" s="407" t="s">
        <v>697</v>
      </c>
      <c r="M15"/>
      <c r="N15"/>
      <c r="Q15" s="583" t="s">
        <v>682</v>
      </c>
      <c r="R15" s="584"/>
      <c r="S15" s="445"/>
      <c r="T15" s="445"/>
      <c r="U15" s="445"/>
      <c r="V15" s="445"/>
      <c r="W15" s="445"/>
      <c r="X15" s="445"/>
      <c r="Z15" s="434" t="s">
        <v>494</v>
      </c>
      <c r="AA15" s="434" t="s">
        <v>495</v>
      </c>
      <c r="AB15" s="6"/>
    </row>
    <row r="16" spans="1:28" ht="18" customHeight="1" x14ac:dyDescent="0.2">
      <c r="A16" s="1"/>
      <c r="B16" s="1" t="s">
        <v>698</v>
      </c>
      <c r="C16" s="431">
        <v>41695</v>
      </c>
      <c r="D16" s="566">
        <v>50.024999999999999</v>
      </c>
      <c r="E16" s="480">
        <v>1.6</v>
      </c>
      <c r="F16" s="567">
        <v>383.72</v>
      </c>
      <c r="G16" s="433">
        <f t="shared" ref="G16:G21" si="1">F16*E16</f>
        <v>613.95200000000011</v>
      </c>
      <c r="H16" s="411">
        <f t="shared" ref="H16:H21" si="2">G16*D16</f>
        <v>30712.948800000006</v>
      </c>
      <c r="I16" s="413">
        <f t="shared" ref="I16:I21" si="3">D16/$D$8</f>
        <v>0.50024999999999997</v>
      </c>
      <c r="J16" s="413">
        <f t="shared" ref="J16:J21" si="4">IF(D16&lt;=0,0,$D$8/D16)</f>
        <v>1.9990004997501249</v>
      </c>
      <c r="K16" s="413">
        <f t="shared" ref="K16:K21" si="5">D16/$D$9</f>
        <v>0.50024999999999997</v>
      </c>
      <c r="L16" s="413">
        <f t="shared" ref="L16:L21" si="6">IF(D16&lt;=0,0,$D$9/D16)</f>
        <v>1.9990004997501249</v>
      </c>
      <c r="M16"/>
      <c r="N16"/>
      <c r="Q16" s="583" t="s">
        <v>683</v>
      </c>
      <c r="R16" s="584"/>
      <c r="S16" s="433">
        <f t="shared" ref="S16:X16" si="7">S15*S14</f>
        <v>0</v>
      </c>
      <c r="T16" s="433">
        <f t="shared" si="7"/>
        <v>0</v>
      </c>
      <c r="U16" s="433">
        <f t="shared" si="7"/>
        <v>0</v>
      </c>
      <c r="V16" s="433">
        <f t="shared" si="7"/>
        <v>0</v>
      </c>
      <c r="W16" s="433">
        <f t="shared" si="7"/>
        <v>0</v>
      </c>
      <c r="X16" s="433">
        <f t="shared" si="7"/>
        <v>0</v>
      </c>
      <c r="Z16" s="437">
        <v>250</v>
      </c>
      <c r="AA16" s="437">
        <v>38</v>
      </c>
      <c r="AB16" s="6"/>
    </row>
    <row r="17" spans="1:28" ht="18" customHeight="1" x14ac:dyDescent="0.2">
      <c r="A17" s="1"/>
      <c r="B17" s="1" t="s">
        <v>699</v>
      </c>
      <c r="C17" s="431"/>
      <c r="D17" s="435"/>
      <c r="E17" s="436"/>
      <c r="F17" s="432"/>
      <c r="G17" s="433">
        <f t="shared" si="1"/>
        <v>0</v>
      </c>
      <c r="H17" s="411">
        <f t="shared" si="2"/>
        <v>0</v>
      </c>
      <c r="I17" s="413">
        <f t="shared" si="3"/>
        <v>0</v>
      </c>
      <c r="J17" s="413">
        <f t="shared" si="4"/>
        <v>0</v>
      </c>
      <c r="K17" s="413">
        <f t="shared" si="5"/>
        <v>0</v>
      </c>
      <c r="L17" s="413">
        <f t="shared" si="6"/>
        <v>0</v>
      </c>
      <c r="M17"/>
      <c r="N17"/>
      <c r="Q17" s="583" t="s">
        <v>651</v>
      </c>
      <c r="R17" s="584"/>
      <c r="S17" s="478">
        <v>3.5000000000000003E-2</v>
      </c>
      <c r="T17" s="478"/>
      <c r="U17" s="478"/>
      <c r="V17" s="478"/>
      <c r="W17" s="478"/>
      <c r="X17" s="478"/>
      <c r="Z17" s="438">
        <v>300</v>
      </c>
      <c r="AA17" s="438">
        <v>34</v>
      </c>
      <c r="AB17" s="6"/>
    </row>
    <row r="18" spans="1:28" ht="18" customHeight="1" x14ac:dyDescent="0.2">
      <c r="A18" s="1"/>
      <c r="B18" s="1" t="s">
        <v>700</v>
      </c>
      <c r="C18" s="431"/>
      <c r="D18" s="435"/>
      <c r="E18" s="436"/>
      <c r="F18" s="432"/>
      <c r="G18" s="433">
        <f t="shared" si="1"/>
        <v>0</v>
      </c>
      <c r="H18" s="411">
        <f t="shared" si="2"/>
        <v>0</v>
      </c>
      <c r="I18" s="413">
        <f t="shared" si="3"/>
        <v>0</v>
      </c>
      <c r="J18" s="413">
        <f t="shared" si="4"/>
        <v>0</v>
      </c>
      <c r="K18" s="413">
        <f t="shared" si="5"/>
        <v>0</v>
      </c>
      <c r="L18" s="413">
        <f t="shared" si="6"/>
        <v>0</v>
      </c>
      <c r="Q18" s="583" t="s">
        <v>684</v>
      </c>
      <c r="R18" s="584"/>
      <c r="S18" s="433">
        <f t="shared" ref="S18:X18" si="8">S17*S16</f>
        <v>0</v>
      </c>
      <c r="T18" s="433">
        <f t="shared" si="8"/>
        <v>0</v>
      </c>
      <c r="U18" s="433">
        <f t="shared" si="8"/>
        <v>0</v>
      </c>
      <c r="V18" s="433">
        <f t="shared" si="8"/>
        <v>0</v>
      </c>
      <c r="W18" s="433">
        <f t="shared" si="8"/>
        <v>0</v>
      </c>
      <c r="X18" s="433">
        <f t="shared" si="8"/>
        <v>0</v>
      </c>
      <c r="Z18" s="438">
        <v>350</v>
      </c>
      <c r="AA18" s="438">
        <v>30</v>
      </c>
      <c r="AB18" s="6"/>
    </row>
    <row r="19" spans="1:28" ht="18" customHeight="1" x14ac:dyDescent="0.2">
      <c r="A19" s="1"/>
      <c r="B19" s="1" t="s">
        <v>701</v>
      </c>
      <c r="C19" s="431"/>
      <c r="D19" s="435"/>
      <c r="E19" s="436"/>
      <c r="F19" s="432"/>
      <c r="G19" s="433">
        <f t="shared" si="1"/>
        <v>0</v>
      </c>
      <c r="H19" s="411">
        <f t="shared" si="2"/>
        <v>0</v>
      </c>
      <c r="I19" s="413">
        <f t="shared" si="3"/>
        <v>0</v>
      </c>
      <c r="J19" s="413">
        <f t="shared" si="4"/>
        <v>0</v>
      </c>
      <c r="K19" s="413">
        <f t="shared" si="5"/>
        <v>0</v>
      </c>
      <c r="L19" s="413">
        <f t="shared" si="6"/>
        <v>0</v>
      </c>
      <c r="Q19" s="583" t="s">
        <v>653</v>
      </c>
      <c r="R19" s="584"/>
      <c r="S19" s="445"/>
      <c r="T19" s="445"/>
      <c r="U19" s="445"/>
      <c r="V19" s="445"/>
      <c r="W19" s="445"/>
      <c r="X19" s="445"/>
      <c r="Z19" s="438">
        <v>400</v>
      </c>
      <c r="AA19" s="438">
        <v>28</v>
      </c>
      <c r="AB19" s="6"/>
    </row>
    <row r="20" spans="1:28" ht="18" customHeight="1" x14ac:dyDescent="0.2">
      <c r="A20" s="1"/>
      <c r="B20" s="1" t="s">
        <v>702</v>
      </c>
      <c r="C20" s="431"/>
      <c r="D20" s="435"/>
      <c r="E20" s="436"/>
      <c r="F20" s="432"/>
      <c r="G20" s="433">
        <f t="shared" si="1"/>
        <v>0</v>
      </c>
      <c r="H20" s="411">
        <f t="shared" si="2"/>
        <v>0</v>
      </c>
      <c r="I20" s="413">
        <f t="shared" si="3"/>
        <v>0</v>
      </c>
      <c r="J20" s="413">
        <f t="shared" si="4"/>
        <v>0</v>
      </c>
      <c r="K20" s="413">
        <f t="shared" si="5"/>
        <v>0</v>
      </c>
      <c r="L20" s="413">
        <f t="shared" si="6"/>
        <v>0</v>
      </c>
      <c r="Q20" s="583" t="s">
        <v>685</v>
      </c>
      <c r="R20" s="584"/>
      <c r="S20" s="445"/>
      <c r="T20" s="445"/>
      <c r="U20" s="445"/>
      <c r="V20" s="445"/>
      <c r="W20" s="445"/>
      <c r="X20" s="445"/>
      <c r="Z20" s="438">
        <v>450</v>
      </c>
      <c r="AA20" s="438">
        <v>26</v>
      </c>
      <c r="AB20" s="6"/>
    </row>
    <row r="21" spans="1:28" ht="18" customHeight="1" x14ac:dyDescent="0.2">
      <c r="A21" s="1"/>
      <c r="B21" s="1" t="s">
        <v>703</v>
      </c>
      <c r="C21" s="431"/>
      <c r="D21" s="435"/>
      <c r="E21" s="436"/>
      <c r="F21" s="432"/>
      <c r="G21" s="433">
        <f t="shared" si="1"/>
        <v>0</v>
      </c>
      <c r="H21" s="411">
        <f t="shared" si="2"/>
        <v>0</v>
      </c>
      <c r="I21" s="413">
        <f t="shared" si="3"/>
        <v>0</v>
      </c>
      <c r="J21" s="413">
        <f t="shared" si="4"/>
        <v>0</v>
      </c>
      <c r="K21" s="413">
        <f t="shared" si="5"/>
        <v>0</v>
      </c>
      <c r="L21" s="413">
        <f t="shared" si="6"/>
        <v>0</v>
      </c>
      <c r="Q21" s="583" t="s">
        <v>655</v>
      </c>
      <c r="R21" s="584"/>
      <c r="S21" s="433">
        <f t="shared" ref="S21:X21" si="9">S16-S18-S19-S20</f>
        <v>0</v>
      </c>
      <c r="T21" s="433">
        <f t="shared" si="9"/>
        <v>0</v>
      </c>
      <c r="U21" s="433">
        <f t="shared" si="9"/>
        <v>0</v>
      </c>
      <c r="V21" s="433">
        <f t="shared" si="9"/>
        <v>0</v>
      </c>
      <c r="W21" s="433">
        <f t="shared" si="9"/>
        <v>0</v>
      </c>
      <c r="X21" s="433">
        <f t="shared" si="9"/>
        <v>0</v>
      </c>
      <c r="Z21" s="438">
        <v>500</v>
      </c>
      <c r="AA21" s="438">
        <v>24</v>
      </c>
      <c r="AB21" s="6"/>
    </row>
    <row r="22" spans="1:28" ht="18" customHeight="1" thickBot="1" x14ac:dyDescent="0.25">
      <c r="A22" s="1"/>
      <c r="B22" s="1"/>
      <c r="C22" s="1"/>
      <c r="D22" s="1"/>
      <c r="E22" s="1"/>
      <c r="F22" s="439">
        <f>SUMPRODUCT(D16:D21,F16:F21)</f>
        <v>19195.593000000001</v>
      </c>
      <c r="G22" s="1"/>
      <c r="H22" s="440">
        <f>SUM(H16:H21)</f>
        <v>30712.948800000006</v>
      </c>
      <c r="I22" s="1"/>
      <c r="J22" s="1"/>
      <c r="K22" s="1"/>
      <c r="L22" s="1"/>
      <c r="Q22" s="583" t="s">
        <v>656</v>
      </c>
      <c r="R22" s="584"/>
      <c r="S22" s="409">
        <f t="shared" ref="S22:X22" si="10">S12</f>
        <v>383.72</v>
      </c>
      <c r="T22" s="409">
        <f t="shared" si="10"/>
        <v>0</v>
      </c>
      <c r="U22" s="409">
        <f t="shared" si="10"/>
        <v>0</v>
      </c>
      <c r="V22" s="409">
        <f t="shared" si="10"/>
        <v>0</v>
      </c>
      <c r="W22" s="409">
        <f t="shared" si="10"/>
        <v>0</v>
      </c>
      <c r="X22" s="409">
        <f t="shared" si="10"/>
        <v>0</v>
      </c>
      <c r="Z22" s="438">
        <v>550</v>
      </c>
      <c r="AA22" s="438">
        <v>22</v>
      </c>
      <c r="AB22" s="6"/>
    </row>
    <row r="23" spans="1:28" ht="18" customHeight="1" thickTop="1" x14ac:dyDescent="0.2">
      <c r="A23" s="1"/>
      <c r="B23" s="1"/>
      <c r="C23" s="1"/>
      <c r="D23" s="1"/>
      <c r="E23" s="1"/>
      <c r="F23" s="1"/>
      <c r="G23" s="1"/>
      <c r="H23" s="1"/>
      <c r="I23" s="1"/>
      <c r="J23" s="1"/>
      <c r="K23" s="1"/>
      <c r="L23" s="1"/>
      <c r="M23" s="1"/>
      <c r="N23" s="1"/>
      <c r="O23" s="1"/>
      <c r="P23" s="1"/>
      <c r="Q23" s="583" t="s">
        <v>686</v>
      </c>
      <c r="R23" s="584"/>
      <c r="S23" s="433">
        <f t="shared" ref="S23:X23" si="11">IF(S14&gt;0,(S18+S19+S20)/S14,0)</f>
        <v>0</v>
      </c>
      <c r="T23" s="433">
        <f t="shared" si="11"/>
        <v>0</v>
      </c>
      <c r="U23" s="433">
        <f t="shared" si="11"/>
        <v>0</v>
      </c>
      <c r="V23" s="433">
        <f t="shared" si="11"/>
        <v>0</v>
      </c>
      <c r="W23" s="433">
        <f t="shared" si="11"/>
        <v>0</v>
      </c>
      <c r="X23" s="433">
        <f t="shared" si="11"/>
        <v>0</v>
      </c>
      <c r="Z23" s="438">
        <v>600</v>
      </c>
      <c r="AA23" s="438">
        <v>20</v>
      </c>
      <c r="AB23" s="6"/>
    </row>
    <row r="24" spans="1:28" ht="18" customHeight="1" x14ac:dyDescent="0.2">
      <c r="A24" s="1"/>
      <c r="C24" s="1"/>
      <c r="D24" s="1"/>
      <c r="E24" s="1"/>
      <c r="F24" s="1"/>
      <c r="G24" s="1"/>
      <c r="H24" s="1"/>
      <c r="I24" s="1"/>
      <c r="J24" s="1"/>
      <c r="K24" s="1"/>
      <c r="L24" s="1"/>
      <c r="M24" s="1"/>
      <c r="N24" s="1"/>
      <c r="O24" s="1"/>
      <c r="P24" s="1"/>
      <c r="Q24" s="583" t="s">
        <v>687</v>
      </c>
      <c r="R24" s="584"/>
      <c r="S24" s="433">
        <f t="shared" ref="S24:X24" si="12">IF(S22&gt;0,S21/S22,0)</f>
        <v>0</v>
      </c>
      <c r="T24" s="433">
        <f t="shared" si="12"/>
        <v>0</v>
      </c>
      <c r="U24" s="433">
        <f t="shared" si="12"/>
        <v>0</v>
      </c>
      <c r="V24" s="433">
        <f t="shared" si="12"/>
        <v>0</v>
      </c>
      <c r="W24" s="433">
        <f t="shared" si="12"/>
        <v>0</v>
      </c>
      <c r="X24" s="433">
        <f t="shared" si="12"/>
        <v>0</v>
      </c>
      <c r="Z24" s="438">
        <v>650</v>
      </c>
      <c r="AA24" s="438">
        <v>18</v>
      </c>
      <c r="AB24" s="6"/>
    </row>
    <row r="25" spans="1:28" customFormat="1" ht="18" customHeight="1" x14ac:dyDescent="0.2"/>
    <row r="26" spans="1:28" customFormat="1" ht="18" customHeight="1" x14ac:dyDescent="0.25">
      <c r="B26" s="5" t="s">
        <v>390</v>
      </c>
      <c r="C26" s="419"/>
      <c r="D26" s="193"/>
      <c r="E26" s="193"/>
      <c r="F26" s="193"/>
      <c r="G26" s="193"/>
      <c r="H26" s="193"/>
      <c r="I26" s="193"/>
      <c r="J26" s="419"/>
      <c r="K26" s="419"/>
      <c r="L26" s="245"/>
    </row>
    <row r="27" spans="1:28" customFormat="1" ht="18" customHeight="1" x14ac:dyDescent="0.25">
      <c r="B27" s="446"/>
      <c r="C27" s="255"/>
      <c r="D27" s="193"/>
      <c r="E27" s="193"/>
      <c r="F27" s="193"/>
      <c r="G27" s="193"/>
      <c r="H27" s="193"/>
      <c r="I27" s="193"/>
      <c r="J27" s="193"/>
      <c r="K27" s="419"/>
      <c r="L27" s="245"/>
    </row>
    <row r="28" spans="1:28" customFormat="1" ht="30.75" x14ac:dyDescent="0.25">
      <c r="C28" s="407" t="s">
        <v>866</v>
      </c>
      <c r="D28" s="407" t="s">
        <v>867</v>
      </c>
      <c r="E28" s="407" t="s">
        <v>384</v>
      </c>
      <c r="F28" s="408" t="s">
        <v>716</v>
      </c>
      <c r="G28" s="408" t="s">
        <v>385</v>
      </c>
      <c r="H28" s="408" t="s">
        <v>386</v>
      </c>
      <c r="I28" s="407" t="s">
        <v>387</v>
      </c>
      <c r="J28" s="407" t="s">
        <v>389</v>
      </c>
      <c r="K28" s="407" t="s">
        <v>688</v>
      </c>
      <c r="L28" s="407" t="s">
        <v>388</v>
      </c>
      <c r="Z28" s="446" t="s">
        <v>375</v>
      </c>
      <c r="AA28" s="419"/>
    </row>
    <row r="29" spans="1:28" customFormat="1" ht="18" customHeight="1" x14ac:dyDescent="0.2">
      <c r="B29" s="1" t="s">
        <v>698</v>
      </c>
      <c r="C29" s="409">
        <f t="shared" ref="C29:C34" si="13">D16</f>
        <v>50.024999999999999</v>
      </c>
      <c r="D29" s="409">
        <f t="shared" ref="D29:D34" si="14">F16</f>
        <v>383.72</v>
      </c>
      <c r="E29" s="450">
        <v>189.5</v>
      </c>
      <c r="F29" s="451">
        <v>1.9</v>
      </c>
      <c r="G29" s="450">
        <v>28</v>
      </c>
      <c r="H29" s="411">
        <f t="shared" ref="H29:H34" si="15">IF(C29&gt;0,C29*E29*F29/G29,0)</f>
        <v>643.26790178571423</v>
      </c>
      <c r="I29" s="433">
        <f t="shared" ref="I29:I34" si="16">IF(C29&gt;0,H29/C29,0)</f>
        <v>12.858928571428571</v>
      </c>
      <c r="J29" s="549">
        <v>0</v>
      </c>
      <c r="K29" s="549">
        <v>0</v>
      </c>
      <c r="L29" s="433">
        <f t="shared" ref="L29:L34" si="17">K29*C29</f>
        <v>0</v>
      </c>
      <c r="Z29" s="419"/>
      <c r="AA29" s="419"/>
    </row>
    <row r="30" spans="1:28" customFormat="1" ht="18" customHeight="1" x14ac:dyDescent="0.25">
      <c r="B30" s="1" t="s">
        <v>699</v>
      </c>
      <c r="C30" s="409">
        <f t="shared" si="13"/>
        <v>0</v>
      </c>
      <c r="D30" s="409">
        <f t="shared" si="14"/>
        <v>0</v>
      </c>
      <c r="E30" s="450"/>
      <c r="F30" s="451"/>
      <c r="G30" s="450"/>
      <c r="H30" s="411">
        <f t="shared" si="15"/>
        <v>0</v>
      </c>
      <c r="I30" s="433">
        <f t="shared" si="16"/>
        <v>0</v>
      </c>
      <c r="J30" s="549">
        <v>0</v>
      </c>
      <c r="K30" s="549">
        <v>0</v>
      </c>
      <c r="L30" s="433">
        <f t="shared" si="17"/>
        <v>0</v>
      </c>
      <c r="Z30" s="362" t="s">
        <v>374</v>
      </c>
      <c r="AA30" s="548">
        <f>D16</f>
        <v>50.024999999999999</v>
      </c>
    </row>
    <row r="31" spans="1:28" customFormat="1" ht="18" customHeight="1" x14ac:dyDescent="0.25">
      <c r="B31" s="1" t="s">
        <v>700</v>
      </c>
      <c r="C31" s="409">
        <f t="shared" si="13"/>
        <v>0</v>
      </c>
      <c r="D31" s="409">
        <f t="shared" si="14"/>
        <v>0</v>
      </c>
      <c r="E31" s="450"/>
      <c r="F31" s="451"/>
      <c r="G31" s="450"/>
      <c r="H31" s="411">
        <f t="shared" si="15"/>
        <v>0</v>
      </c>
      <c r="I31" s="433">
        <f t="shared" si="16"/>
        <v>0</v>
      </c>
      <c r="J31" s="549">
        <v>0</v>
      </c>
      <c r="K31" s="549">
        <v>0</v>
      </c>
      <c r="L31" s="433">
        <f t="shared" si="17"/>
        <v>0</v>
      </c>
      <c r="Z31" s="362" t="s">
        <v>868</v>
      </c>
      <c r="AA31" s="256">
        <v>200</v>
      </c>
    </row>
    <row r="32" spans="1:28" customFormat="1" ht="18" customHeight="1" x14ac:dyDescent="0.25">
      <c r="B32" s="1" t="s">
        <v>701</v>
      </c>
      <c r="C32" s="409">
        <f t="shared" si="13"/>
        <v>0</v>
      </c>
      <c r="D32" s="409">
        <f t="shared" si="14"/>
        <v>0</v>
      </c>
      <c r="E32" s="450"/>
      <c r="F32" s="451"/>
      <c r="G32" s="450"/>
      <c r="H32" s="411">
        <f t="shared" si="15"/>
        <v>0</v>
      </c>
      <c r="I32" s="433">
        <f t="shared" si="16"/>
        <v>0</v>
      </c>
      <c r="J32" s="549">
        <v>0</v>
      </c>
      <c r="K32" s="549">
        <v>0</v>
      </c>
      <c r="L32" s="433">
        <f t="shared" si="17"/>
        <v>0</v>
      </c>
      <c r="Z32" s="362" t="s">
        <v>869</v>
      </c>
      <c r="AA32" s="257">
        <v>2</v>
      </c>
    </row>
    <row r="33" spans="1:38" customFormat="1" ht="18" customHeight="1" x14ac:dyDescent="0.25">
      <c r="B33" s="1" t="s">
        <v>702</v>
      </c>
      <c r="C33" s="409">
        <f t="shared" si="13"/>
        <v>0</v>
      </c>
      <c r="D33" s="409">
        <f t="shared" si="14"/>
        <v>0</v>
      </c>
      <c r="E33" s="450"/>
      <c r="F33" s="451"/>
      <c r="G33" s="450"/>
      <c r="H33" s="411">
        <f t="shared" si="15"/>
        <v>0</v>
      </c>
      <c r="I33" s="433">
        <f t="shared" si="16"/>
        <v>0</v>
      </c>
      <c r="J33" s="549">
        <v>0</v>
      </c>
      <c r="K33" s="549">
        <v>0</v>
      </c>
      <c r="L33" s="433">
        <f t="shared" si="17"/>
        <v>0</v>
      </c>
      <c r="Z33" s="362" t="s">
        <v>870</v>
      </c>
      <c r="AA33" s="256">
        <v>28</v>
      </c>
    </row>
    <row r="34" spans="1:38" customFormat="1" ht="18" customHeight="1" x14ac:dyDescent="0.25">
      <c r="B34" s="1" t="s">
        <v>703</v>
      </c>
      <c r="C34" s="409">
        <f t="shared" si="13"/>
        <v>0</v>
      </c>
      <c r="D34" s="409">
        <f t="shared" si="14"/>
        <v>0</v>
      </c>
      <c r="E34" s="450"/>
      <c r="F34" s="451"/>
      <c r="G34" s="450"/>
      <c r="H34" s="411">
        <f t="shared" si="15"/>
        <v>0</v>
      </c>
      <c r="I34" s="433">
        <f t="shared" si="16"/>
        <v>0</v>
      </c>
      <c r="J34" s="549">
        <v>0</v>
      </c>
      <c r="K34" s="549">
        <v>0</v>
      </c>
      <c r="L34" s="433">
        <f t="shared" si="17"/>
        <v>0</v>
      </c>
      <c r="Z34" s="362" t="s">
        <v>993</v>
      </c>
      <c r="AA34" s="411">
        <f>IF(AA30&gt;0,AA30*AA31*AA32/AA33,0)</f>
        <v>714.64285714285711</v>
      </c>
    </row>
    <row r="35" spans="1:38" customFormat="1" ht="18" customHeight="1" thickBot="1" x14ac:dyDescent="0.3">
      <c r="B35" s="419"/>
      <c r="C35" s="419"/>
      <c r="D35" s="419"/>
      <c r="E35" s="419"/>
      <c r="F35" s="419"/>
      <c r="G35" s="419"/>
      <c r="H35" s="440">
        <f>SUM(H29:H34)</f>
        <v>643.26790178571423</v>
      </c>
      <c r="I35" s="419"/>
      <c r="J35" s="440">
        <f>SUM(J29:J34)</f>
        <v>0</v>
      </c>
      <c r="K35" s="419"/>
      <c r="L35" s="440">
        <f>SUM(L29:L34)</f>
        <v>0</v>
      </c>
      <c r="Z35" s="362" t="s">
        <v>871</v>
      </c>
      <c r="AA35" s="433">
        <f>IF(AA30&gt;0,AA34/AA30,0)</f>
        <v>14.285714285714285</v>
      </c>
    </row>
    <row r="36" spans="1:38" customFormat="1" ht="18" customHeight="1" thickTop="1" x14ac:dyDescent="0.2"/>
    <row r="37" spans="1:38" customFormat="1" ht="18" customHeight="1" x14ac:dyDescent="0.2"/>
    <row r="38" spans="1:38" customFormat="1" ht="18" customHeight="1" x14ac:dyDescent="0.25">
      <c r="B38" s="5" t="s">
        <v>392</v>
      </c>
      <c r="C38" s="1"/>
      <c r="D38" s="1"/>
      <c r="E38" s="1"/>
      <c r="F38" s="1"/>
      <c r="G38" s="1"/>
      <c r="H38" s="1"/>
      <c r="I38" s="1"/>
      <c r="J38" s="1"/>
      <c r="K38" s="1"/>
      <c r="L38" s="419"/>
      <c r="M38" s="419"/>
      <c r="N38" s="419"/>
      <c r="O38" s="419"/>
      <c r="P38" s="419"/>
    </row>
    <row r="39" spans="1:38" ht="18" customHeight="1" x14ac:dyDescent="0.2">
      <c r="A39" s="1"/>
      <c r="B39" s="1"/>
      <c r="C39" s="1"/>
      <c r="D39" s="1"/>
      <c r="E39" s="1"/>
      <c r="F39" s="1"/>
      <c r="G39" s="1"/>
      <c r="H39" s="1"/>
      <c r="I39" s="1"/>
      <c r="J39" s="1"/>
      <c r="K39" s="1"/>
      <c r="Q39" s="1"/>
      <c r="R39" s="1"/>
      <c r="S39" s="1"/>
      <c r="T39" s="1"/>
      <c r="U39" s="1"/>
      <c r="V39" s="1"/>
      <c r="W39" s="1"/>
      <c r="X39" s="1"/>
      <c r="AA39" s="419"/>
    </row>
    <row r="40" spans="1:38" ht="28.5" customHeight="1" x14ac:dyDescent="0.2">
      <c r="A40" s="1"/>
      <c r="B40" s="1"/>
      <c r="C40" s="407" t="s">
        <v>720</v>
      </c>
      <c r="D40" s="408" t="s">
        <v>883</v>
      </c>
      <c r="E40" s="408" t="s">
        <v>884</v>
      </c>
      <c r="F40" s="408" t="s">
        <v>885</v>
      </c>
      <c r="G40" s="408" t="s">
        <v>886</v>
      </c>
      <c r="H40" s="408" t="s">
        <v>887</v>
      </c>
      <c r="I40" s="408" t="s">
        <v>888</v>
      </c>
      <c r="J40" s="408" t="s">
        <v>889</v>
      </c>
      <c r="K40" s="408" t="s">
        <v>395</v>
      </c>
      <c r="L40" s="408" t="s">
        <v>337</v>
      </c>
      <c r="M40" s="408" t="s">
        <v>993</v>
      </c>
      <c r="X40" s="1"/>
      <c r="Y40" s="1"/>
      <c r="AA40" s="419"/>
    </row>
    <row r="41" spans="1:38" ht="18" customHeight="1" x14ac:dyDescent="0.2">
      <c r="A41" s="1"/>
      <c r="B41" s="1" t="s">
        <v>698</v>
      </c>
      <c r="C41" s="409">
        <f t="shared" ref="C41:C46" si="18">D16</f>
        <v>50.024999999999999</v>
      </c>
      <c r="D41" s="410"/>
      <c r="E41" s="410"/>
      <c r="F41" s="410"/>
      <c r="G41" s="410">
        <v>0.38</v>
      </c>
      <c r="H41" s="410"/>
      <c r="I41" s="410"/>
      <c r="J41" s="410"/>
      <c r="K41" s="410">
        <v>2.13</v>
      </c>
      <c r="L41" s="410"/>
      <c r="M41" s="411">
        <f t="shared" ref="M41:M46" si="19">SUM(D41:L41)*C41</f>
        <v>125.56274999999998</v>
      </c>
      <c r="X41" s="1"/>
      <c r="AA41" s="419"/>
      <c r="AB41" s="419"/>
      <c r="AC41" s="419"/>
      <c r="AD41" s="419"/>
      <c r="AE41" s="419"/>
      <c r="AF41" s="419"/>
    </row>
    <row r="42" spans="1:38" ht="18" customHeight="1" x14ac:dyDescent="0.2">
      <c r="A42" s="1"/>
      <c r="B42" s="1" t="s">
        <v>699</v>
      </c>
      <c r="C42" s="409">
        <f t="shared" si="18"/>
        <v>0</v>
      </c>
      <c r="D42" s="410"/>
      <c r="E42" s="410"/>
      <c r="F42" s="410"/>
      <c r="G42" s="410"/>
      <c r="H42" s="410"/>
      <c r="I42" s="410"/>
      <c r="J42" s="410"/>
      <c r="K42" s="410"/>
      <c r="L42" s="410"/>
      <c r="M42" s="411">
        <f t="shared" si="19"/>
        <v>0</v>
      </c>
      <c r="X42" s="1"/>
      <c r="AA42" s="419"/>
      <c r="AB42" s="419"/>
      <c r="AC42" s="419"/>
      <c r="AD42" s="419"/>
      <c r="AE42" s="419"/>
      <c r="AF42" s="419"/>
    </row>
    <row r="43" spans="1:38" ht="18" customHeight="1" x14ac:dyDescent="0.2">
      <c r="A43" s="1"/>
      <c r="B43" s="1" t="s">
        <v>700</v>
      </c>
      <c r="C43" s="409">
        <f t="shared" si="18"/>
        <v>0</v>
      </c>
      <c r="D43" s="410"/>
      <c r="E43" s="410"/>
      <c r="F43" s="410"/>
      <c r="G43" s="410"/>
      <c r="H43" s="410"/>
      <c r="I43" s="410"/>
      <c r="J43" s="410"/>
      <c r="K43" s="410"/>
      <c r="L43" s="410"/>
      <c r="M43" s="411">
        <f t="shared" si="19"/>
        <v>0</v>
      </c>
      <c r="X43" s="1"/>
      <c r="AA43" s="419"/>
      <c r="AB43" s="419"/>
      <c r="AC43" s="419"/>
      <c r="AD43" s="419"/>
      <c r="AE43" s="419"/>
      <c r="AF43" s="419"/>
    </row>
    <row r="44" spans="1:38" ht="18" customHeight="1" x14ac:dyDescent="0.2">
      <c r="A44" s="1"/>
      <c r="B44" s="1" t="s">
        <v>701</v>
      </c>
      <c r="C44" s="409">
        <f t="shared" si="18"/>
        <v>0</v>
      </c>
      <c r="D44" s="410"/>
      <c r="E44" s="410"/>
      <c r="F44" s="410"/>
      <c r="G44" s="410"/>
      <c r="H44" s="410"/>
      <c r="I44" s="410"/>
      <c r="J44" s="410"/>
      <c r="K44" s="410"/>
      <c r="L44" s="410"/>
      <c r="M44" s="411">
        <f t="shared" si="19"/>
        <v>0</v>
      </c>
      <c r="X44" s="1"/>
      <c r="AA44" s="419"/>
      <c r="AB44" s="419"/>
      <c r="AC44" s="419"/>
      <c r="AD44" s="419"/>
      <c r="AE44" s="419"/>
      <c r="AF44" s="419"/>
    </row>
    <row r="45" spans="1:38" ht="18" customHeight="1" x14ac:dyDescent="0.2">
      <c r="A45" s="1"/>
      <c r="B45" s="1" t="s">
        <v>702</v>
      </c>
      <c r="C45" s="409">
        <f t="shared" si="18"/>
        <v>0</v>
      </c>
      <c r="D45" s="410"/>
      <c r="E45" s="410"/>
      <c r="F45" s="410"/>
      <c r="G45" s="410"/>
      <c r="H45" s="410"/>
      <c r="I45" s="410"/>
      <c r="J45" s="410"/>
      <c r="K45" s="410"/>
      <c r="L45" s="410"/>
      <c r="M45" s="411">
        <f t="shared" si="19"/>
        <v>0</v>
      </c>
      <c r="X45" s="1"/>
      <c r="AA45" s="419"/>
      <c r="AB45" s="419"/>
      <c r="AC45" s="419"/>
      <c r="AD45" s="419"/>
      <c r="AE45" s="419"/>
      <c r="AF45" s="419"/>
      <c r="AL45" s="444"/>
    </row>
    <row r="46" spans="1:38" ht="18" customHeight="1" x14ac:dyDescent="0.2">
      <c r="A46" s="1"/>
      <c r="B46" s="1" t="s">
        <v>703</v>
      </c>
      <c r="C46" s="409">
        <f t="shared" si="18"/>
        <v>0</v>
      </c>
      <c r="D46" s="410"/>
      <c r="E46" s="410"/>
      <c r="F46" s="410"/>
      <c r="G46" s="410"/>
      <c r="H46" s="410"/>
      <c r="I46" s="410"/>
      <c r="J46" s="410"/>
      <c r="K46" s="410"/>
      <c r="L46" s="410"/>
      <c r="M46" s="411">
        <f t="shared" si="19"/>
        <v>0</v>
      </c>
      <c r="X46" s="1"/>
      <c r="AA46" s="419"/>
      <c r="AB46" s="419"/>
      <c r="AC46" s="419"/>
      <c r="AD46" s="419"/>
      <c r="AE46" s="419"/>
      <c r="AF46" s="419"/>
      <c r="AK46" s="444"/>
      <c r="AL46" s="444"/>
    </row>
    <row r="47" spans="1:38" ht="18" customHeight="1" x14ac:dyDescent="0.2">
      <c r="A47" s="1"/>
      <c r="B47" s="1"/>
      <c r="C47" s="1"/>
      <c r="D47" s="412">
        <f t="shared" ref="D47:L47" si="20">SUMPRODUCT($C$41:$C$46,D41:D46)</f>
        <v>0</v>
      </c>
      <c r="E47" s="412">
        <f t="shared" si="20"/>
        <v>0</v>
      </c>
      <c r="F47" s="412">
        <f t="shared" si="20"/>
        <v>0</v>
      </c>
      <c r="G47" s="412">
        <f t="shared" si="20"/>
        <v>19.009499999999999</v>
      </c>
      <c r="H47" s="412">
        <f t="shared" si="20"/>
        <v>0</v>
      </c>
      <c r="I47" s="412">
        <f t="shared" si="20"/>
        <v>0</v>
      </c>
      <c r="J47" s="412">
        <f t="shared" si="20"/>
        <v>0</v>
      </c>
      <c r="K47" s="412">
        <f t="shared" si="20"/>
        <v>106.55324999999999</v>
      </c>
      <c r="L47" s="412">
        <f t="shared" si="20"/>
        <v>0</v>
      </c>
      <c r="M47" s="411">
        <f>SUM(M41:M46)</f>
        <v>125.56274999999998</v>
      </c>
      <c r="X47" s="1"/>
      <c r="AA47" s="419"/>
      <c r="AB47" s="419"/>
      <c r="AC47" s="419"/>
      <c r="AD47" s="419"/>
      <c r="AE47" s="419"/>
      <c r="AF47" s="419"/>
      <c r="AK47" s="444"/>
      <c r="AL47" s="444"/>
    </row>
    <row r="48" spans="1:38" ht="18" customHeight="1" x14ac:dyDescent="0.2">
      <c r="A48" s="1"/>
      <c r="Q48" s="1"/>
      <c r="R48" s="1"/>
      <c r="S48" s="1"/>
      <c r="T48" s="1"/>
      <c r="U48" s="1"/>
      <c r="V48" s="1"/>
      <c r="W48" s="1"/>
      <c r="X48" s="1"/>
      <c r="AA48" s="419"/>
      <c r="AB48" s="419"/>
      <c r="AC48" s="419"/>
      <c r="AD48" s="419"/>
      <c r="AE48" s="419"/>
      <c r="AF48" s="419"/>
      <c r="AK48" s="444"/>
      <c r="AL48" s="444"/>
    </row>
    <row r="49" spans="1:38" ht="18" customHeight="1" x14ac:dyDescent="0.2">
      <c r="A49" s="1"/>
      <c r="Q49" s="1"/>
      <c r="R49" s="1"/>
      <c r="S49" s="1"/>
      <c r="T49" s="1"/>
      <c r="U49" s="1"/>
      <c r="V49" s="1"/>
      <c r="W49" s="1"/>
      <c r="X49" s="1"/>
      <c r="AA49" s="419"/>
      <c r="AB49" s="419"/>
      <c r="AC49" s="419"/>
      <c r="AD49" s="419"/>
      <c r="AE49" s="419"/>
      <c r="AF49" s="419"/>
      <c r="AK49" s="444"/>
      <c r="AL49" s="444"/>
    </row>
    <row r="50" spans="1:38" ht="18" customHeight="1" x14ac:dyDescent="0.2">
      <c r="A50" s="1"/>
      <c r="Q50" s="1"/>
      <c r="R50" s="1"/>
      <c r="S50" s="1"/>
      <c r="T50" s="1"/>
      <c r="U50" s="1"/>
      <c r="V50" s="1"/>
      <c r="W50" s="1"/>
      <c r="X50" s="1"/>
      <c r="AA50" s="419"/>
      <c r="AB50" s="419"/>
      <c r="AC50" s="419"/>
      <c r="AD50" s="419"/>
      <c r="AE50" s="419"/>
      <c r="AF50" s="419"/>
      <c r="AK50" s="444"/>
      <c r="AL50" s="444"/>
    </row>
    <row r="51" spans="1:38" ht="18" customHeight="1" x14ac:dyDescent="0.25">
      <c r="A51" s="1"/>
      <c r="B51" s="5" t="s">
        <v>401</v>
      </c>
      <c r="C51"/>
      <c r="D51"/>
      <c r="E51"/>
      <c r="F51"/>
      <c r="G51"/>
      <c r="H51"/>
      <c r="I51"/>
      <c r="J51"/>
      <c r="K51"/>
      <c r="L51"/>
      <c r="M51"/>
      <c r="N51"/>
      <c r="O51"/>
      <c r="P51"/>
      <c r="Q51" s="1"/>
      <c r="R51" s="1"/>
      <c r="S51" s="1"/>
      <c r="T51" s="1"/>
      <c r="U51" s="1"/>
      <c r="V51" s="1"/>
      <c r="W51" s="1"/>
      <c r="X51" s="1"/>
      <c r="AA51" s="419"/>
      <c r="AB51" s="419"/>
      <c r="AC51" s="419"/>
      <c r="AD51" s="419"/>
      <c r="AE51" s="419"/>
      <c r="AF51" s="419"/>
      <c r="AK51" s="444"/>
      <c r="AL51" s="444"/>
    </row>
    <row r="52" spans="1:38" ht="18" customHeight="1" x14ac:dyDescent="0.25">
      <c r="A52" s="1"/>
      <c r="B52" s="5"/>
      <c r="C52" s="1"/>
      <c r="D52" s="1"/>
      <c r="E52" s="1"/>
      <c r="F52" s="1"/>
      <c r="G52" s="1"/>
      <c r="H52" s="1"/>
      <c r="I52" s="1"/>
      <c r="J52" s="1"/>
      <c r="K52" s="1"/>
      <c r="L52" s="1"/>
      <c r="M52" s="1"/>
      <c r="N52" s="1"/>
      <c r="O52" s="1"/>
      <c r="P52" s="1"/>
      <c r="Q52" s="1"/>
      <c r="R52" s="1"/>
      <c r="S52" s="1"/>
      <c r="T52" s="1"/>
      <c r="U52" s="1"/>
      <c r="V52" s="1"/>
      <c r="W52" s="1"/>
      <c r="X52" s="1"/>
      <c r="AA52" s="419"/>
      <c r="AB52" s="419"/>
      <c r="AC52" s="419"/>
      <c r="AD52" s="419"/>
      <c r="AE52" s="419"/>
      <c r="AF52" s="419"/>
      <c r="AK52" s="444"/>
      <c r="AL52" s="444"/>
    </row>
    <row r="53" spans="1:38" ht="30" x14ac:dyDescent="0.2">
      <c r="A53" s="1"/>
      <c r="B53" s="1"/>
      <c r="C53" s="407" t="s">
        <v>704</v>
      </c>
      <c r="D53" s="407" t="s">
        <v>824</v>
      </c>
      <c r="E53" s="407" t="s">
        <v>705</v>
      </c>
      <c r="F53" s="407" t="s">
        <v>378</v>
      </c>
      <c r="G53" s="407" t="s">
        <v>379</v>
      </c>
      <c r="H53" s="407" t="s">
        <v>706</v>
      </c>
      <c r="I53" s="407" t="s">
        <v>380</v>
      </c>
      <c r="J53" s="407" t="s">
        <v>850</v>
      </c>
      <c r="K53" s="407" t="s">
        <v>707</v>
      </c>
      <c r="L53" s="407" t="s">
        <v>708</v>
      </c>
      <c r="M53" s="407" t="s">
        <v>855</v>
      </c>
      <c r="N53" s="407" t="s">
        <v>851</v>
      </c>
      <c r="O53" s="407" t="s">
        <v>856</v>
      </c>
      <c r="Q53" s="1"/>
      <c r="R53" s="1"/>
      <c r="S53" s="1"/>
      <c r="T53" s="1"/>
      <c r="U53" s="1"/>
      <c r="V53" s="1"/>
      <c r="W53" s="1"/>
      <c r="X53" s="1"/>
      <c r="AA53" s="419"/>
      <c r="AB53" s="419"/>
      <c r="AC53" s="419"/>
      <c r="AD53" s="419"/>
      <c r="AE53" s="419"/>
      <c r="AF53" s="419"/>
      <c r="AK53" s="444"/>
      <c r="AL53" s="444"/>
    </row>
    <row r="54" spans="1:38" ht="18" customHeight="1" x14ac:dyDescent="0.2">
      <c r="A54" s="1"/>
      <c r="B54" s="1" t="s">
        <v>698</v>
      </c>
      <c r="C54" s="431">
        <f>C16+235.86</f>
        <v>41930.86</v>
      </c>
      <c r="D54" s="409">
        <f t="shared" ref="D54:D59" si="21">C54-C16</f>
        <v>235.86000000000058</v>
      </c>
      <c r="E54" s="429">
        <v>596</v>
      </c>
      <c r="F54" s="409">
        <f t="shared" ref="F54:F59" si="22">E54-F16</f>
        <v>212.27999999999997</v>
      </c>
      <c r="G54" s="413">
        <f t="shared" ref="G54:G59" si="23">IF(F54&lt;=0,0,F54/D54)</f>
        <v>0.90002543881963648</v>
      </c>
      <c r="H54" s="441">
        <f>D16</f>
        <v>50.024999999999999</v>
      </c>
      <c r="I54" s="421">
        <f t="shared" ref="I54:I59" si="24">IF(H54&lt;=0,0,(H54-D16)/D16)</f>
        <v>0</v>
      </c>
      <c r="J54" s="442">
        <v>1.6639999999999999</v>
      </c>
      <c r="K54" s="550">
        <f t="shared" ref="K54:K59" si="25">J54*E54</f>
        <v>991.74399999999991</v>
      </c>
      <c r="L54" s="411">
        <f t="shared" ref="L54:L59" si="26">K54*H54</f>
        <v>49611.993599999994</v>
      </c>
      <c r="M54" s="409">
        <f t="shared" ref="M54:M59" si="27">E54*H54</f>
        <v>29814.899999999998</v>
      </c>
      <c r="N54" s="415">
        <v>0.52</v>
      </c>
      <c r="O54" s="409">
        <f t="shared" ref="O54:O59" si="28">N54*M54</f>
        <v>15503.748</v>
      </c>
      <c r="Q54" s="1"/>
      <c r="R54" s="1"/>
      <c r="S54" s="1"/>
      <c r="T54" s="1"/>
      <c r="U54" s="1"/>
      <c r="V54" s="1"/>
      <c r="W54" s="1"/>
      <c r="X54" s="1"/>
      <c r="AA54" s="419"/>
      <c r="AB54" s="419"/>
      <c r="AC54" s="419"/>
      <c r="AD54" s="419"/>
      <c r="AE54" s="419"/>
      <c r="AF54" s="419"/>
      <c r="AK54" s="444"/>
      <c r="AL54" s="444"/>
    </row>
    <row r="55" spans="1:38" ht="18" customHeight="1" x14ac:dyDescent="0.2">
      <c r="A55" s="1"/>
      <c r="B55" s="1" t="s">
        <v>699</v>
      </c>
      <c r="C55" s="431"/>
      <c r="D55" s="409">
        <f t="shared" si="21"/>
        <v>0</v>
      </c>
      <c r="E55" s="429"/>
      <c r="F55" s="409">
        <f t="shared" si="22"/>
        <v>0</v>
      </c>
      <c r="G55" s="413">
        <f t="shared" si="23"/>
        <v>0</v>
      </c>
      <c r="H55" s="435"/>
      <c r="I55" s="421">
        <f t="shared" si="24"/>
        <v>0</v>
      </c>
      <c r="J55" s="442"/>
      <c r="K55" s="550">
        <f t="shared" si="25"/>
        <v>0</v>
      </c>
      <c r="L55" s="411">
        <f t="shared" si="26"/>
        <v>0</v>
      </c>
      <c r="M55" s="409">
        <f t="shared" si="27"/>
        <v>0</v>
      </c>
      <c r="N55" s="415">
        <v>0.52</v>
      </c>
      <c r="O55" s="409">
        <f t="shared" si="28"/>
        <v>0</v>
      </c>
      <c r="Q55" s="1"/>
      <c r="R55" s="1"/>
      <c r="S55" s="1"/>
      <c r="T55" s="1"/>
      <c r="U55" s="1"/>
      <c r="V55" s="1"/>
      <c r="W55" s="1"/>
      <c r="X55" s="1"/>
      <c r="AA55" s="419"/>
      <c r="AB55" s="419"/>
      <c r="AC55" s="419"/>
      <c r="AD55" s="419"/>
      <c r="AE55" s="419"/>
      <c r="AF55" s="419"/>
      <c r="AK55" s="444"/>
      <c r="AL55" s="444"/>
    </row>
    <row r="56" spans="1:38" x14ac:dyDescent="0.2">
      <c r="A56" s="1"/>
      <c r="B56" s="1" t="s">
        <v>700</v>
      </c>
      <c r="C56" s="431"/>
      <c r="D56" s="409">
        <f t="shared" si="21"/>
        <v>0</v>
      </c>
      <c r="E56" s="429"/>
      <c r="F56" s="409">
        <f t="shared" si="22"/>
        <v>0</v>
      </c>
      <c r="G56" s="413">
        <f t="shared" si="23"/>
        <v>0</v>
      </c>
      <c r="H56" s="435"/>
      <c r="I56" s="421">
        <f t="shared" si="24"/>
        <v>0</v>
      </c>
      <c r="J56" s="442"/>
      <c r="K56" s="550">
        <f t="shared" si="25"/>
        <v>0</v>
      </c>
      <c r="L56" s="411">
        <f t="shared" si="26"/>
        <v>0</v>
      </c>
      <c r="M56" s="409">
        <f t="shared" si="27"/>
        <v>0</v>
      </c>
      <c r="N56" s="415">
        <v>0.52</v>
      </c>
      <c r="O56" s="409">
        <f t="shared" si="28"/>
        <v>0</v>
      </c>
      <c r="Q56" s="1"/>
      <c r="R56" s="1"/>
      <c r="S56" s="1"/>
      <c r="T56" s="1"/>
      <c r="U56" s="1"/>
      <c r="V56" s="1"/>
      <c r="W56" s="1"/>
      <c r="X56" s="1"/>
      <c r="AA56" s="419"/>
      <c r="AB56" s="419"/>
      <c r="AC56" s="419"/>
      <c r="AD56" s="419"/>
      <c r="AE56" s="419"/>
      <c r="AF56" s="419"/>
      <c r="AK56" s="444"/>
      <c r="AL56" s="444"/>
    </row>
    <row r="57" spans="1:38" ht="18" customHeight="1" x14ac:dyDescent="0.2">
      <c r="A57" s="1"/>
      <c r="B57" s="1" t="s">
        <v>701</v>
      </c>
      <c r="C57" s="431"/>
      <c r="D57" s="409">
        <f t="shared" si="21"/>
        <v>0</v>
      </c>
      <c r="E57" s="435"/>
      <c r="F57" s="409">
        <f t="shared" si="22"/>
        <v>0</v>
      </c>
      <c r="G57" s="413">
        <f t="shared" si="23"/>
        <v>0</v>
      </c>
      <c r="H57" s="435"/>
      <c r="I57" s="421">
        <f t="shared" si="24"/>
        <v>0</v>
      </c>
      <c r="J57" s="442"/>
      <c r="K57" s="550">
        <f t="shared" si="25"/>
        <v>0</v>
      </c>
      <c r="L57" s="411">
        <f t="shared" si="26"/>
        <v>0</v>
      </c>
      <c r="M57" s="409">
        <f t="shared" si="27"/>
        <v>0</v>
      </c>
      <c r="N57" s="415">
        <v>0.52</v>
      </c>
      <c r="O57" s="409">
        <f t="shared" si="28"/>
        <v>0</v>
      </c>
      <c r="Q57" s="1"/>
      <c r="R57" s="1"/>
      <c r="S57" s="1"/>
      <c r="T57" s="1"/>
      <c r="U57" s="1"/>
      <c r="V57" s="1"/>
      <c r="W57" s="1"/>
      <c r="X57" s="1"/>
      <c r="AA57" s="419"/>
      <c r="AB57" s="419"/>
      <c r="AC57" s="419"/>
      <c r="AD57" s="419"/>
      <c r="AE57" s="419"/>
      <c r="AF57" s="419"/>
      <c r="AK57" s="444"/>
      <c r="AL57" s="444"/>
    </row>
    <row r="58" spans="1:38" ht="18" customHeight="1" x14ac:dyDescent="0.2">
      <c r="A58" s="1"/>
      <c r="B58" s="1" t="s">
        <v>702</v>
      </c>
      <c r="C58" s="431"/>
      <c r="D58" s="409">
        <f t="shared" si="21"/>
        <v>0</v>
      </c>
      <c r="E58" s="435"/>
      <c r="F58" s="409">
        <f t="shared" si="22"/>
        <v>0</v>
      </c>
      <c r="G58" s="413">
        <f t="shared" si="23"/>
        <v>0</v>
      </c>
      <c r="H58" s="435"/>
      <c r="I58" s="421">
        <f t="shared" si="24"/>
        <v>0</v>
      </c>
      <c r="J58" s="442"/>
      <c r="K58" s="550">
        <f t="shared" si="25"/>
        <v>0</v>
      </c>
      <c r="L58" s="411">
        <f t="shared" si="26"/>
        <v>0</v>
      </c>
      <c r="M58" s="409">
        <f t="shared" si="27"/>
        <v>0</v>
      </c>
      <c r="N58" s="415">
        <v>0.52</v>
      </c>
      <c r="O58" s="409">
        <f t="shared" si="28"/>
        <v>0</v>
      </c>
      <c r="Q58" s="1"/>
      <c r="R58" s="1"/>
      <c r="S58" s="1"/>
      <c r="T58" s="1"/>
      <c r="U58" s="1"/>
      <c r="V58" s="1"/>
      <c r="W58" s="1"/>
      <c r="X58" s="1"/>
      <c r="AA58" s="419"/>
      <c r="AB58" s="419"/>
      <c r="AC58" s="419"/>
      <c r="AD58" s="419"/>
      <c r="AE58" s="419"/>
      <c r="AF58" s="419"/>
      <c r="AK58" s="444"/>
      <c r="AL58" s="444"/>
    </row>
    <row r="59" spans="1:38" ht="18" customHeight="1" x14ac:dyDescent="0.2">
      <c r="A59" s="1"/>
      <c r="B59" s="1" t="s">
        <v>703</v>
      </c>
      <c r="C59" s="431"/>
      <c r="D59" s="409">
        <f t="shared" si="21"/>
        <v>0</v>
      </c>
      <c r="E59" s="435"/>
      <c r="F59" s="409">
        <f t="shared" si="22"/>
        <v>0</v>
      </c>
      <c r="G59" s="413">
        <f t="shared" si="23"/>
        <v>0</v>
      </c>
      <c r="H59" s="435"/>
      <c r="I59" s="421">
        <f t="shared" si="24"/>
        <v>0</v>
      </c>
      <c r="J59" s="442"/>
      <c r="K59" s="550">
        <f t="shared" si="25"/>
        <v>0</v>
      </c>
      <c r="L59" s="411">
        <f t="shared" si="26"/>
        <v>0</v>
      </c>
      <c r="M59" s="409">
        <f t="shared" si="27"/>
        <v>0</v>
      </c>
      <c r="N59" s="415">
        <v>0.52</v>
      </c>
      <c r="O59" s="409">
        <f t="shared" si="28"/>
        <v>0</v>
      </c>
      <c r="Q59" s="1"/>
      <c r="R59" s="1"/>
      <c r="S59" s="1"/>
      <c r="T59" s="1"/>
      <c r="U59" s="1"/>
      <c r="V59" s="1"/>
      <c r="W59" s="1"/>
      <c r="X59" s="1"/>
      <c r="AA59" s="419"/>
      <c r="AB59" s="419"/>
      <c r="AC59" s="419"/>
      <c r="AD59" s="419"/>
      <c r="AE59" s="419"/>
      <c r="AF59" s="419"/>
      <c r="AK59" s="444"/>
      <c r="AL59" s="444"/>
    </row>
    <row r="60" spans="1:38" ht="18" customHeight="1" thickBot="1" x14ac:dyDescent="0.25">
      <c r="A60" s="1"/>
      <c r="B60" s="1"/>
      <c r="C60" s="1"/>
      <c r="D60" s="1"/>
      <c r="E60" s="439">
        <f>SUMPRODUCT(E54:E59,H54:H59)</f>
        <v>29814.899999999998</v>
      </c>
      <c r="F60" s="1"/>
      <c r="G60" s="1"/>
      <c r="I60" s="1"/>
      <c r="J60" s="1"/>
      <c r="K60" s="1" t="s">
        <v>993</v>
      </c>
      <c r="L60" s="440">
        <f>SUM(L54:L59)</f>
        <v>49611.993599999994</v>
      </c>
      <c r="M60" s="439">
        <f>SUM(M54:M59)</f>
        <v>29814.899999999998</v>
      </c>
      <c r="O60" s="439">
        <f>SUM(O54:O59)</f>
        <v>15503.748</v>
      </c>
      <c r="Q60" s="1"/>
      <c r="R60" s="1"/>
      <c r="S60" s="1"/>
      <c r="T60" s="1"/>
      <c r="U60" s="1"/>
      <c r="V60" s="1"/>
      <c r="W60" s="1"/>
      <c r="X60" s="1"/>
      <c r="AA60" s="419"/>
      <c r="AB60" s="419"/>
      <c r="AC60" s="419"/>
      <c r="AD60" s="419"/>
      <c r="AE60" s="419"/>
      <c r="AF60" s="419"/>
      <c r="AK60" s="444"/>
      <c r="AL60" s="444"/>
    </row>
    <row r="61" spans="1:38" ht="18" customHeight="1" thickTop="1" x14ac:dyDescent="0.2">
      <c r="A61" s="1"/>
      <c r="B61" s="1"/>
      <c r="C61" s="1"/>
      <c r="D61" s="1"/>
      <c r="E61" s="1"/>
      <c r="F61" s="1"/>
      <c r="G61" s="1"/>
      <c r="H61" s="1"/>
      <c r="I61" s="1"/>
      <c r="J61" s="1"/>
      <c r="K61" s="1"/>
      <c r="L61" s="12" t="s">
        <v>562</v>
      </c>
      <c r="M61" s="481">
        <f>F22</f>
        <v>19195.593000000001</v>
      </c>
      <c r="N61" s="1"/>
      <c r="O61" s="481">
        <f>M61*O60/M60</f>
        <v>9981.7083600000005</v>
      </c>
      <c r="P61" s="1"/>
      <c r="Q61" s="1"/>
      <c r="R61" s="1"/>
      <c r="S61" s="1"/>
      <c r="T61" s="1"/>
      <c r="U61" s="1"/>
      <c r="V61" s="1"/>
      <c r="W61" s="1"/>
      <c r="X61" s="1"/>
      <c r="AA61" s="419"/>
      <c r="AB61" s="419"/>
      <c r="AC61" s="419"/>
      <c r="AD61" s="419"/>
      <c r="AE61" s="419"/>
      <c r="AF61" s="419"/>
      <c r="AK61" s="444"/>
      <c r="AL61" s="444"/>
    </row>
    <row r="62" spans="1:38" ht="18" customHeight="1" x14ac:dyDescent="0.25">
      <c r="A62" s="1"/>
      <c r="L62" s="547" t="s">
        <v>381</v>
      </c>
      <c r="M62" s="247">
        <f>M60-M61</f>
        <v>10619.306999999997</v>
      </c>
      <c r="N62" t="s">
        <v>382</v>
      </c>
      <c r="O62" s="247">
        <f>O60-O61</f>
        <v>5522.0396399999991</v>
      </c>
      <c r="P62" s="1" t="s">
        <v>383</v>
      </c>
      <c r="Q62" s="1"/>
      <c r="R62" s="1"/>
      <c r="S62" s="1"/>
      <c r="T62" s="1"/>
      <c r="U62" s="1"/>
      <c r="V62" s="1"/>
      <c r="W62" s="1"/>
      <c r="X62" s="1"/>
      <c r="AA62" s="419"/>
      <c r="AB62" s="419"/>
      <c r="AC62" s="419"/>
      <c r="AD62" s="419"/>
      <c r="AE62" s="419"/>
      <c r="AF62" s="419"/>
      <c r="AK62" s="444"/>
      <c r="AL62" s="444"/>
    </row>
    <row r="63" spans="1:38" ht="18" customHeight="1" x14ac:dyDescent="0.25">
      <c r="A63" s="1"/>
      <c r="B63" s="446"/>
      <c r="L63" s="245"/>
      <c r="M63"/>
      <c r="N63"/>
      <c r="O63"/>
      <c r="P63" s="1"/>
      <c r="Q63" s="1"/>
      <c r="R63" s="1"/>
      <c r="S63" s="1"/>
      <c r="T63" s="1"/>
      <c r="U63" s="1"/>
      <c r="V63" s="1"/>
      <c r="W63" s="1"/>
      <c r="X63" s="1"/>
      <c r="AA63" s="419"/>
      <c r="AB63" s="419"/>
      <c r="AC63" s="419"/>
      <c r="AD63" s="419"/>
      <c r="AE63" s="419"/>
      <c r="AF63" s="419"/>
      <c r="AK63" s="444"/>
      <c r="AL63" s="444"/>
    </row>
    <row r="64" spans="1:38" ht="18" customHeight="1" x14ac:dyDescent="0.25">
      <c r="A64" s="1"/>
      <c r="B64" s="446"/>
      <c r="L64" s="245"/>
      <c r="M64"/>
      <c r="N64"/>
      <c r="O64"/>
      <c r="P64" s="1"/>
      <c r="Q64" s="1"/>
      <c r="R64" s="1"/>
      <c r="S64" s="1"/>
      <c r="T64" s="1"/>
      <c r="U64" s="1"/>
      <c r="V64" s="1"/>
      <c r="W64" s="1"/>
      <c r="X64" s="1"/>
      <c r="AA64" s="419"/>
      <c r="AB64" s="419"/>
      <c r="AC64" s="419"/>
      <c r="AD64" s="419"/>
      <c r="AE64" s="419"/>
      <c r="AF64" s="419"/>
      <c r="AK64" s="444"/>
      <c r="AL64" s="444"/>
    </row>
    <row r="65" spans="1:38" ht="18" customHeight="1" x14ac:dyDescent="0.25">
      <c r="A65" s="1"/>
      <c r="B65" s="446"/>
      <c r="L65" s="245"/>
      <c r="M65"/>
      <c r="N65"/>
      <c r="O65"/>
      <c r="P65" s="1"/>
      <c r="Q65" s="1"/>
      <c r="R65" s="1"/>
      <c r="S65" s="1"/>
      <c r="T65" s="1"/>
      <c r="U65" s="1"/>
      <c r="V65" s="1"/>
      <c r="W65" s="1"/>
      <c r="X65" s="1"/>
      <c r="AA65" s="419"/>
      <c r="AB65" s="419"/>
      <c r="AC65" s="419"/>
      <c r="AD65" s="419"/>
      <c r="AE65" s="419"/>
      <c r="AF65" s="419"/>
      <c r="AK65" s="444"/>
      <c r="AL65" s="444"/>
    </row>
    <row r="66" spans="1:38" ht="18" customHeight="1" x14ac:dyDescent="0.25">
      <c r="A66" s="1"/>
      <c r="B66" s="446" t="s">
        <v>561</v>
      </c>
      <c r="L66" s="245"/>
      <c r="M66"/>
      <c r="N66"/>
      <c r="O66"/>
      <c r="P66" s="1"/>
      <c r="Q66" s="1"/>
      <c r="R66" s="1"/>
      <c r="S66" s="1"/>
      <c r="T66" s="1"/>
      <c r="U66" s="1"/>
      <c r="V66" s="1"/>
      <c r="W66" s="1"/>
      <c r="X66" s="1"/>
      <c r="AA66" s="419"/>
      <c r="AB66" s="419"/>
      <c r="AC66" s="419"/>
      <c r="AD66" s="419"/>
      <c r="AE66" s="419"/>
      <c r="AF66" s="419"/>
      <c r="AK66" s="444"/>
      <c r="AL66" s="444"/>
    </row>
    <row r="67" spans="1:38" ht="18" customHeight="1" x14ac:dyDescent="0.2">
      <c r="A67" s="1"/>
      <c r="M67" s="1"/>
      <c r="N67" s="1"/>
      <c r="O67" s="1"/>
      <c r="P67" s="1"/>
      <c r="Q67" s="1"/>
      <c r="R67" s="1"/>
      <c r="S67" s="1"/>
      <c r="T67" s="1"/>
      <c r="U67" s="1"/>
      <c r="V67" s="1"/>
      <c r="W67" s="1"/>
      <c r="X67" s="1"/>
      <c r="AA67" s="419"/>
      <c r="AB67" s="419"/>
      <c r="AC67" s="419"/>
      <c r="AD67" s="419"/>
      <c r="AE67" s="419"/>
      <c r="AF67" s="419"/>
      <c r="AK67" s="444"/>
      <c r="AL67" s="444"/>
    </row>
    <row r="68" spans="1:38" ht="33" customHeight="1" x14ac:dyDescent="0.2">
      <c r="A68" s="1"/>
      <c r="C68" s="407" t="s">
        <v>709</v>
      </c>
      <c r="D68" s="407" t="s">
        <v>710</v>
      </c>
      <c r="E68" s="407" t="s">
        <v>711</v>
      </c>
      <c r="F68" s="407" t="s">
        <v>712</v>
      </c>
      <c r="G68" s="407" t="s">
        <v>713</v>
      </c>
      <c r="H68" s="407" t="s">
        <v>714</v>
      </c>
      <c r="I68" s="407" t="s">
        <v>715</v>
      </c>
      <c r="J68" s="407" t="s">
        <v>716</v>
      </c>
      <c r="K68" s="407" t="s">
        <v>717</v>
      </c>
      <c r="L68" s="407" t="s">
        <v>718</v>
      </c>
      <c r="M68" s="407" t="s">
        <v>719</v>
      </c>
      <c r="O68" s="1"/>
      <c r="P68" s="1"/>
      <c r="Q68" s="1"/>
      <c r="R68" s="1"/>
      <c r="S68" s="1"/>
      <c r="T68" s="1"/>
      <c r="U68" s="1"/>
      <c r="V68" s="1"/>
      <c r="W68" s="1"/>
      <c r="X68" s="1"/>
      <c r="AA68" s="419"/>
      <c r="AB68" s="419"/>
      <c r="AC68" s="419"/>
      <c r="AD68" s="419"/>
      <c r="AE68" s="419"/>
      <c r="AF68" s="419"/>
      <c r="AK68" s="444"/>
      <c r="AL68" s="444"/>
    </row>
    <row r="69" spans="1:38" ht="18" customHeight="1" x14ac:dyDescent="0.2">
      <c r="A69" s="1"/>
      <c r="B69" s="419" t="str">
        <f t="shared" ref="B69:B74" si="29">B54</f>
        <v>Mob 1</v>
      </c>
      <c r="C69" s="448"/>
      <c r="D69" s="411">
        <f t="shared" ref="D69:D74" si="30">C69*L54</f>
        <v>0</v>
      </c>
      <c r="E69" s="449">
        <v>5</v>
      </c>
      <c r="F69" s="449"/>
      <c r="G69" s="449"/>
      <c r="H69" s="411">
        <f t="shared" ref="H69:H74" si="31">(E69*H54)+(F69*H54)+G69</f>
        <v>250.125</v>
      </c>
      <c r="I69" s="450">
        <v>421</v>
      </c>
      <c r="J69" s="451">
        <v>1.9</v>
      </c>
      <c r="K69" s="450">
        <v>20</v>
      </c>
      <c r="L69" s="411">
        <f t="shared" ref="L69:L74" si="32">IF(K69=0,0,IF(H54&lt;=0,0,H54*I69*J69/K69))</f>
        <v>2000.7498749999995</v>
      </c>
      <c r="M69" s="433">
        <f t="shared" ref="M69:M74" si="33">IF(L69&lt;=0,0,L69/H54)</f>
        <v>39.99499999999999</v>
      </c>
      <c r="O69" s="1"/>
      <c r="P69" s="1"/>
      <c r="Q69" s="1"/>
      <c r="R69" s="1"/>
      <c r="S69" s="1"/>
      <c r="T69" s="1"/>
      <c r="U69" s="1"/>
      <c r="V69" s="1"/>
      <c r="W69" s="1"/>
      <c r="X69" s="1"/>
      <c r="AA69" s="419"/>
      <c r="AB69" s="419"/>
      <c r="AC69" s="419"/>
      <c r="AD69" s="419"/>
      <c r="AE69" s="419"/>
      <c r="AF69" s="419"/>
      <c r="AK69" s="444"/>
      <c r="AL69" s="444"/>
    </row>
    <row r="70" spans="1:38" ht="18" customHeight="1" x14ac:dyDescent="0.2">
      <c r="A70" s="1"/>
      <c r="B70" s="419" t="str">
        <f t="shared" si="29"/>
        <v>Mob 2</v>
      </c>
      <c r="C70" s="448"/>
      <c r="D70" s="411">
        <f t="shared" si="30"/>
        <v>0</v>
      </c>
      <c r="E70" s="449"/>
      <c r="F70" s="449"/>
      <c r="G70" s="449"/>
      <c r="H70" s="411">
        <f t="shared" si="31"/>
        <v>0</v>
      </c>
      <c r="I70" s="450"/>
      <c r="J70" s="451"/>
      <c r="K70" s="450"/>
      <c r="L70" s="411">
        <f t="shared" si="32"/>
        <v>0</v>
      </c>
      <c r="M70" s="433">
        <f t="shared" si="33"/>
        <v>0</v>
      </c>
      <c r="O70" s="1"/>
      <c r="P70" s="1"/>
      <c r="Q70" s="1"/>
      <c r="R70" s="1"/>
      <c r="S70" s="1"/>
      <c r="T70" s="1"/>
      <c r="U70" s="1"/>
      <c r="V70" s="1"/>
      <c r="W70" s="1"/>
      <c r="X70" s="1"/>
      <c r="AA70" s="419"/>
      <c r="AB70" s="419"/>
      <c r="AC70" s="419"/>
      <c r="AD70" s="419"/>
      <c r="AE70" s="419"/>
      <c r="AF70" s="419"/>
      <c r="AK70" s="444"/>
      <c r="AL70" s="444"/>
    </row>
    <row r="71" spans="1:38" ht="18" customHeight="1" x14ac:dyDescent="0.2">
      <c r="A71" s="1"/>
      <c r="B71" s="419" t="str">
        <f t="shared" si="29"/>
        <v>Mob 3</v>
      </c>
      <c r="C71" s="448"/>
      <c r="D71" s="411">
        <f t="shared" si="30"/>
        <v>0</v>
      </c>
      <c r="E71" s="449"/>
      <c r="F71" s="449"/>
      <c r="G71" s="449"/>
      <c r="H71" s="411">
        <f t="shared" si="31"/>
        <v>0</v>
      </c>
      <c r="I71" s="450"/>
      <c r="J71" s="451"/>
      <c r="K71" s="450"/>
      <c r="L71" s="411">
        <f t="shared" si="32"/>
        <v>0</v>
      </c>
      <c r="M71" s="433">
        <f t="shared" si="33"/>
        <v>0</v>
      </c>
      <c r="O71" s="1"/>
      <c r="P71" s="1"/>
      <c r="Q71" s="1"/>
      <c r="R71" s="1"/>
      <c r="S71" s="1"/>
      <c r="T71" s="1"/>
      <c r="U71" s="1"/>
      <c r="V71" s="1"/>
      <c r="W71" s="1"/>
      <c r="X71" s="1"/>
      <c r="AI71" s="444"/>
      <c r="AJ71" s="444"/>
      <c r="AK71" s="444"/>
      <c r="AL71" s="444"/>
    </row>
    <row r="72" spans="1:38" ht="18" customHeight="1" x14ac:dyDescent="0.2">
      <c r="A72" s="1"/>
      <c r="B72" s="419" t="str">
        <f t="shared" si="29"/>
        <v>Mob 4</v>
      </c>
      <c r="C72" s="448"/>
      <c r="D72" s="411">
        <f t="shared" si="30"/>
        <v>0</v>
      </c>
      <c r="E72" s="449"/>
      <c r="F72" s="449"/>
      <c r="G72" s="449"/>
      <c r="H72" s="411">
        <f t="shared" si="31"/>
        <v>0</v>
      </c>
      <c r="I72" s="450"/>
      <c r="J72" s="451"/>
      <c r="K72" s="450"/>
      <c r="L72" s="411">
        <f t="shared" si="32"/>
        <v>0</v>
      </c>
      <c r="M72" s="433">
        <f t="shared" si="33"/>
        <v>0</v>
      </c>
      <c r="O72" s="1"/>
      <c r="P72" s="1"/>
      <c r="Q72" s="1"/>
      <c r="R72" s="1"/>
      <c r="S72" s="1"/>
      <c r="T72" s="1"/>
      <c r="U72" s="1"/>
      <c r="V72" s="1"/>
      <c r="W72" s="1"/>
      <c r="X72" s="1"/>
      <c r="AI72" s="444"/>
      <c r="AJ72" s="444"/>
      <c r="AK72" s="444"/>
      <c r="AL72" s="444"/>
    </row>
    <row r="73" spans="1:38" ht="18" customHeight="1" x14ac:dyDescent="0.2">
      <c r="A73" s="1"/>
      <c r="B73" s="419" t="str">
        <f t="shared" si="29"/>
        <v>Mob 5</v>
      </c>
      <c r="C73" s="448"/>
      <c r="D73" s="411">
        <f t="shared" si="30"/>
        <v>0</v>
      </c>
      <c r="E73" s="449"/>
      <c r="F73" s="449"/>
      <c r="G73" s="449"/>
      <c r="H73" s="411">
        <f t="shared" si="31"/>
        <v>0</v>
      </c>
      <c r="I73" s="450"/>
      <c r="J73" s="451"/>
      <c r="K73" s="450"/>
      <c r="L73" s="411">
        <f t="shared" si="32"/>
        <v>0</v>
      </c>
      <c r="M73" s="433">
        <f t="shared" si="33"/>
        <v>0</v>
      </c>
      <c r="O73" s="1"/>
      <c r="P73" s="1"/>
      <c r="Q73" s="1"/>
      <c r="R73" s="1"/>
      <c r="S73" s="1"/>
      <c r="T73" s="1"/>
      <c r="U73" s="1"/>
      <c r="V73" s="1"/>
      <c r="W73" s="1"/>
      <c r="X73" s="1"/>
      <c r="Y73"/>
      <c r="Z73"/>
      <c r="AA73"/>
      <c r="AB73"/>
      <c r="AC73"/>
      <c r="AD73"/>
      <c r="AE73"/>
      <c r="AF73"/>
      <c r="AI73" s="444"/>
      <c r="AJ73" s="444"/>
      <c r="AK73" s="444"/>
      <c r="AL73" s="444"/>
    </row>
    <row r="74" spans="1:38" ht="18" customHeight="1" x14ac:dyDescent="0.2">
      <c r="A74" s="1"/>
      <c r="B74" s="419" t="str">
        <f t="shared" si="29"/>
        <v>Mob 6</v>
      </c>
      <c r="C74" s="448"/>
      <c r="D74" s="411">
        <f t="shared" si="30"/>
        <v>0</v>
      </c>
      <c r="E74" s="449"/>
      <c r="F74" s="449"/>
      <c r="G74" s="449"/>
      <c r="H74" s="411">
        <f t="shared" si="31"/>
        <v>0</v>
      </c>
      <c r="I74" s="450"/>
      <c r="J74" s="451"/>
      <c r="K74" s="450"/>
      <c r="L74" s="411">
        <f t="shared" si="32"/>
        <v>0</v>
      </c>
      <c r="M74" s="433">
        <f t="shared" si="33"/>
        <v>0</v>
      </c>
      <c r="O74" s="1"/>
      <c r="P74" s="1"/>
      <c r="Q74" s="1"/>
      <c r="R74" s="1"/>
      <c r="S74" s="1"/>
      <c r="T74" s="1"/>
      <c r="U74" s="1"/>
      <c r="V74" s="1"/>
      <c r="W74" s="1"/>
      <c r="X74" s="1"/>
      <c r="Y74"/>
      <c r="Z74"/>
      <c r="AA74"/>
      <c r="AB74"/>
      <c r="AC74"/>
      <c r="AD74"/>
      <c r="AE74"/>
      <c r="AF74"/>
      <c r="AI74" s="444"/>
      <c r="AJ74" s="444"/>
      <c r="AK74" s="444"/>
      <c r="AL74" s="444"/>
    </row>
    <row r="75" spans="1:38" ht="18" customHeight="1" thickBot="1" x14ac:dyDescent="0.25">
      <c r="A75" s="1"/>
      <c r="C75" s="1"/>
      <c r="D75" s="440">
        <f>SUM(D69:D74)</f>
        <v>0</v>
      </c>
      <c r="E75" s="1"/>
      <c r="F75" s="1"/>
      <c r="G75" s="1"/>
      <c r="H75" s="440">
        <f>SUM(H69:H74)</f>
        <v>250.125</v>
      </c>
      <c r="I75" s="1"/>
      <c r="J75" s="1"/>
      <c r="K75" s="1"/>
      <c r="L75" s="440">
        <f>SUM(L69:L74)</f>
        <v>2000.7498749999995</v>
      </c>
      <c r="M75" s="1"/>
      <c r="O75" s="1"/>
      <c r="P75" s="1"/>
      <c r="Q75" s="1"/>
      <c r="R75" s="1"/>
      <c r="S75" s="1"/>
      <c r="T75" s="1"/>
      <c r="U75" s="1"/>
      <c r="V75" s="1"/>
      <c r="W75" s="1"/>
      <c r="X75" s="1"/>
      <c r="Y75"/>
      <c r="Z75"/>
      <c r="AA75"/>
      <c r="AB75"/>
      <c r="AC75"/>
      <c r="AD75"/>
      <c r="AE75"/>
      <c r="AF75"/>
      <c r="AI75" s="444"/>
      <c r="AJ75" s="444"/>
      <c r="AK75" s="444"/>
      <c r="AL75" s="444"/>
    </row>
    <row r="76" spans="1:38" ht="18" customHeight="1" thickTop="1" x14ac:dyDescent="0.2">
      <c r="A76" s="1"/>
      <c r="B76" s="1"/>
      <c r="C76" s="1"/>
      <c r="D76" s="1"/>
      <c r="E76" s="1"/>
      <c r="F76" s="1"/>
      <c r="G76" s="1"/>
      <c r="H76" s="1"/>
      <c r="I76" s="1"/>
      <c r="J76" s="1"/>
      <c r="K76" s="1"/>
      <c r="L76" s="1"/>
      <c r="M76" s="1"/>
      <c r="N76" s="1"/>
      <c r="O76" s="1"/>
      <c r="P76" s="1"/>
      <c r="Q76" s="1"/>
      <c r="R76" s="1"/>
      <c r="S76" s="1"/>
      <c r="T76" s="1"/>
      <c r="U76" s="1"/>
      <c r="V76" s="1"/>
      <c r="W76" s="1"/>
      <c r="X76" s="1"/>
      <c r="Y76"/>
      <c r="Z76"/>
      <c r="AA76"/>
      <c r="AB76"/>
      <c r="AC76"/>
      <c r="AD76"/>
      <c r="AE76"/>
      <c r="AF76"/>
      <c r="AI76" s="444"/>
      <c r="AJ76" s="444"/>
      <c r="AK76" s="444"/>
      <c r="AL76" s="444"/>
    </row>
    <row r="77" spans="1:38" ht="18" customHeight="1" x14ac:dyDescent="0.2">
      <c r="A77" s="1"/>
      <c r="L77" s="1"/>
      <c r="M77" s="1"/>
      <c r="N77" s="1"/>
      <c r="O77" s="1"/>
      <c r="P77" s="1"/>
      <c r="Q77" s="1"/>
      <c r="R77" s="1"/>
      <c r="S77" s="1"/>
      <c r="T77" s="1"/>
      <c r="U77" s="1"/>
      <c r="V77" s="1"/>
      <c r="W77" s="1"/>
      <c r="X77" s="1"/>
      <c r="Y77"/>
      <c r="Z77"/>
      <c r="AA77"/>
      <c r="AB77"/>
      <c r="AC77"/>
      <c r="AD77"/>
      <c r="AE77"/>
      <c r="AF77"/>
      <c r="AI77" s="444"/>
      <c r="AJ77" s="444"/>
      <c r="AK77" s="444"/>
      <c r="AL77" s="444"/>
    </row>
    <row r="78" spans="1:38" ht="18" customHeight="1" x14ac:dyDescent="0.2">
      <c r="A78" s="1"/>
      <c r="B78" s="1"/>
      <c r="C78" s="1"/>
      <c r="D78" s="1"/>
      <c r="E78" s="1"/>
      <c r="F78" s="1"/>
      <c r="G78" s="1"/>
      <c r="H78" s="1"/>
      <c r="I78" s="1"/>
      <c r="J78" s="1"/>
      <c r="K78" s="1"/>
      <c r="L78" s="1"/>
      <c r="M78" s="1"/>
      <c r="N78" s="1"/>
      <c r="O78" s="1"/>
      <c r="P78" s="1"/>
      <c r="Q78" s="1"/>
      <c r="R78" s="1"/>
      <c r="S78" s="1"/>
      <c r="T78" s="1"/>
      <c r="U78" s="1"/>
      <c r="V78" s="1"/>
      <c r="W78" s="1"/>
      <c r="X78" s="1"/>
      <c r="AA78" s="419"/>
      <c r="AB78" s="419"/>
      <c r="AC78" s="419"/>
      <c r="AD78" s="419"/>
      <c r="AE78" s="419"/>
      <c r="AF78" s="419"/>
      <c r="AI78" s="444"/>
      <c r="AJ78" s="444"/>
      <c r="AK78" s="444"/>
      <c r="AL78" s="444"/>
    </row>
    <row r="79" spans="1:38" ht="18" customHeight="1" x14ac:dyDescent="0.25">
      <c r="A79" s="1"/>
      <c r="B79" s="5" t="s">
        <v>396</v>
      </c>
      <c r="C79" s="1"/>
      <c r="D79" s="1"/>
      <c r="E79" s="1"/>
      <c r="F79" s="1"/>
      <c r="G79" s="1"/>
      <c r="H79" s="1"/>
      <c r="I79" s="1"/>
      <c r="J79" s="1"/>
      <c r="K79" s="1"/>
      <c r="L79" s="1"/>
      <c r="M79" s="1"/>
      <c r="N79" s="1"/>
      <c r="O79" s="1"/>
      <c r="P79" s="1"/>
      <c r="Q79" s="1"/>
      <c r="R79" s="1"/>
      <c r="S79" s="1"/>
      <c r="T79" s="1"/>
      <c r="U79" s="1"/>
      <c r="V79" s="1"/>
      <c r="W79" s="1"/>
      <c r="X79" s="1"/>
      <c r="AA79" s="419"/>
      <c r="AB79" s="419"/>
      <c r="AC79" s="419"/>
      <c r="AD79" s="419"/>
      <c r="AE79" s="419"/>
      <c r="AF79" s="419"/>
      <c r="AI79" s="444"/>
      <c r="AJ79" s="444"/>
      <c r="AK79" s="444"/>
      <c r="AL79" s="444"/>
    </row>
    <row r="80" spans="1:38" x14ac:dyDescent="0.2">
      <c r="A80" s="1"/>
      <c r="B80" s="1"/>
      <c r="C80" s="1"/>
      <c r="D80" s="1"/>
      <c r="E80" s="1"/>
      <c r="F80" s="1"/>
      <c r="G80" s="1"/>
      <c r="H80" s="1"/>
      <c r="I80" s="1"/>
      <c r="J80" s="1"/>
      <c r="K80" s="1"/>
      <c r="L80" s="1"/>
      <c r="M80" s="1"/>
      <c r="N80" s="1"/>
      <c r="O80" s="1"/>
      <c r="P80" s="1"/>
      <c r="Q80" s="1"/>
      <c r="R80" s="1"/>
      <c r="S80" s="1"/>
      <c r="T80" s="1"/>
      <c r="U80" s="1"/>
      <c r="V80" s="1"/>
      <c r="W80" s="1"/>
      <c r="X80" s="1"/>
      <c r="AA80" s="419"/>
      <c r="AB80" s="419"/>
      <c r="AC80" s="419"/>
      <c r="AD80" s="419"/>
      <c r="AE80" s="419"/>
      <c r="AF80" s="419"/>
      <c r="AI80" s="444"/>
      <c r="AJ80" s="444"/>
      <c r="AK80" s="444"/>
      <c r="AL80" s="444"/>
    </row>
    <row r="81" spans="1:32" ht="33" customHeight="1" x14ac:dyDescent="0.2">
      <c r="A81" s="1"/>
      <c r="B81" s="1"/>
      <c r="C81" s="408" t="s">
        <v>892</v>
      </c>
      <c r="D81" s="408" t="s">
        <v>721</v>
      </c>
      <c r="E81" s="408" t="s">
        <v>722</v>
      </c>
      <c r="F81" s="408" t="s">
        <v>723</v>
      </c>
      <c r="G81" s="408" t="s">
        <v>724</v>
      </c>
      <c r="H81" s="408" t="s">
        <v>725</v>
      </c>
      <c r="I81" s="1"/>
      <c r="J81" s="1"/>
      <c r="K81" s="1"/>
      <c r="L81" s="1"/>
      <c r="M81" s="1"/>
      <c r="N81" s="1"/>
      <c r="O81" s="1"/>
      <c r="P81" s="1"/>
      <c r="Q81" s="1"/>
      <c r="R81" s="1"/>
      <c r="S81" s="1"/>
      <c r="T81" s="1"/>
      <c r="U81" s="1"/>
      <c r="V81" s="1"/>
      <c r="W81" s="1"/>
      <c r="X81" s="1"/>
      <c r="AA81" s="419"/>
      <c r="AB81" s="419"/>
      <c r="AC81" s="419"/>
      <c r="AD81" s="419"/>
      <c r="AE81" s="419"/>
      <c r="AF81" s="419"/>
    </row>
    <row r="82" spans="1:32" x14ac:dyDescent="0.2">
      <c r="A82" s="1"/>
      <c r="B82" s="1" t="s">
        <v>698</v>
      </c>
      <c r="C82" s="409">
        <f t="shared" ref="C82:C87" si="34">C41</f>
        <v>50.024999999999999</v>
      </c>
      <c r="D82" s="409">
        <f t="shared" ref="D82:D87" si="35">D54</f>
        <v>235.86000000000058</v>
      </c>
      <c r="E82" s="411">
        <f t="shared" ref="E82:E87" si="36">G16</f>
        <v>613.95200000000011</v>
      </c>
      <c r="F82" s="411">
        <f t="shared" ref="F82:F87" si="37">E82*C82</f>
        <v>30712.948800000006</v>
      </c>
      <c r="G82" s="452">
        <v>0.05</v>
      </c>
      <c r="H82" s="411">
        <f t="shared" ref="H82:H87" si="38">F82*G82*D82/365</f>
        <v>992.32275396822183</v>
      </c>
      <c r="I82" s="1"/>
      <c r="J82" s="1"/>
      <c r="K82" s="1"/>
      <c r="L82" s="1"/>
      <c r="M82" s="1"/>
      <c r="N82" s="1"/>
      <c r="O82" s="1"/>
      <c r="P82" s="1"/>
      <c r="Q82" s="1"/>
      <c r="R82" s="1"/>
      <c r="S82" s="1"/>
      <c r="T82" s="1"/>
      <c r="U82" s="1"/>
      <c r="V82" s="1"/>
      <c r="W82" s="1"/>
      <c r="X82" s="1"/>
      <c r="AA82" s="419"/>
      <c r="AB82" s="419"/>
      <c r="AC82" s="419"/>
      <c r="AD82" s="419"/>
      <c r="AE82" s="419"/>
      <c r="AF82" s="419"/>
    </row>
    <row r="83" spans="1:32" x14ac:dyDescent="0.2">
      <c r="A83" s="1"/>
      <c r="B83" s="1" t="s">
        <v>699</v>
      </c>
      <c r="C83" s="409">
        <f t="shared" si="34"/>
        <v>0</v>
      </c>
      <c r="D83" s="409">
        <f t="shared" si="35"/>
        <v>0</v>
      </c>
      <c r="E83" s="411">
        <f t="shared" si="36"/>
        <v>0</v>
      </c>
      <c r="F83" s="411">
        <f t="shared" si="37"/>
        <v>0</v>
      </c>
      <c r="G83" s="452">
        <v>0.05</v>
      </c>
      <c r="H83" s="411">
        <f t="shared" si="38"/>
        <v>0</v>
      </c>
      <c r="I83" s="1"/>
      <c r="J83" s="1"/>
      <c r="K83" s="1"/>
      <c r="L83" s="1"/>
      <c r="M83" s="1"/>
      <c r="N83" s="1"/>
      <c r="O83" s="1"/>
      <c r="P83" s="1"/>
      <c r="Q83" s="1"/>
      <c r="R83" s="1"/>
      <c r="S83" s="1"/>
      <c r="T83" s="1"/>
      <c r="U83" s="1"/>
      <c r="V83" s="1"/>
      <c r="W83" s="1"/>
      <c r="X83" s="1"/>
      <c r="AA83" s="419"/>
      <c r="AB83" s="419"/>
      <c r="AC83" s="419"/>
      <c r="AD83" s="419"/>
      <c r="AE83" s="419"/>
      <c r="AF83" s="419"/>
    </row>
    <row r="84" spans="1:32" x14ac:dyDescent="0.2">
      <c r="A84" s="1"/>
      <c r="B84" s="1" t="s">
        <v>700</v>
      </c>
      <c r="C84" s="409">
        <f t="shared" si="34"/>
        <v>0</v>
      </c>
      <c r="D84" s="409">
        <f t="shared" si="35"/>
        <v>0</v>
      </c>
      <c r="E84" s="411">
        <f t="shared" si="36"/>
        <v>0</v>
      </c>
      <c r="F84" s="411">
        <f t="shared" si="37"/>
        <v>0</v>
      </c>
      <c r="G84" s="452">
        <v>0.05</v>
      </c>
      <c r="H84" s="411">
        <f t="shared" si="38"/>
        <v>0</v>
      </c>
      <c r="I84" s="1"/>
      <c r="J84" s="1"/>
      <c r="K84" s="1"/>
      <c r="L84" s="1"/>
      <c r="M84" s="1"/>
      <c r="N84" s="1"/>
      <c r="O84" s="1"/>
      <c r="P84" s="1"/>
      <c r="Q84" s="1"/>
      <c r="R84" s="1"/>
      <c r="S84" s="1"/>
      <c r="T84" s="1"/>
      <c r="U84" s="1"/>
      <c r="V84" s="1"/>
      <c r="W84" s="1"/>
      <c r="X84" s="1"/>
      <c r="AA84" s="419"/>
      <c r="AB84" s="419"/>
      <c r="AC84" s="419"/>
      <c r="AD84" s="419"/>
      <c r="AE84" s="419"/>
      <c r="AF84" s="419"/>
    </row>
    <row r="85" spans="1:32" x14ac:dyDescent="0.2">
      <c r="A85" s="1"/>
      <c r="B85" s="1" t="s">
        <v>701</v>
      </c>
      <c r="C85" s="409">
        <f t="shared" si="34"/>
        <v>0</v>
      </c>
      <c r="D85" s="409">
        <f t="shared" si="35"/>
        <v>0</v>
      </c>
      <c r="E85" s="411">
        <f t="shared" si="36"/>
        <v>0</v>
      </c>
      <c r="F85" s="411">
        <f t="shared" si="37"/>
        <v>0</v>
      </c>
      <c r="G85" s="452">
        <v>0.05</v>
      </c>
      <c r="H85" s="411">
        <f t="shared" si="38"/>
        <v>0</v>
      </c>
      <c r="I85" s="1"/>
      <c r="J85" s="1"/>
      <c r="K85" s="1"/>
      <c r="L85" s="1"/>
      <c r="M85" s="1"/>
      <c r="N85" s="1"/>
      <c r="O85" s="1"/>
      <c r="P85" s="1"/>
      <c r="Q85" s="1"/>
      <c r="R85" s="1"/>
      <c r="S85" s="1"/>
      <c r="T85" s="1"/>
      <c r="U85" s="1"/>
      <c r="V85" s="1"/>
      <c r="W85" s="1"/>
      <c r="X85" s="1"/>
      <c r="AA85" s="419"/>
      <c r="AB85" s="419"/>
      <c r="AC85" s="419"/>
      <c r="AD85" s="419"/>
      <c r="AE85" s="419"/>
      <c r="AF85" s="419"/>
    </row>
    <row r="86" spans="1:32" x14ac:dyDescent="0.2">
      <c r="A86" s="1"/>
      <c r="B86" s="1" t="s">
        <v>702</v>
      </c>
      <c r="C86" s="409">
        <f t="shared" si="34"/>
        <v>0</v>
      </c>
      <c r="D86" s="409">
        <f t="shared" si="35"/>
        <v>0</v>
      </c>
      <c r="E86" s="411">
        <f t="shared" si="36"/>
        <v>0</v>
      </c>
      <c r="F86" s="411">
        <f t="shared" si="37"/>
        <v>0</v>
      </c>
      <c r="G86" s="452">
        <v>0.05</v>
      </c>
      <c r="H86" s="411">
        <f t="shared" si="38"/>
        <v>0</v>
      </c>
      <c r="I86" s="1"/>
      <c r="J86" s="1"/>
      <c r="K86" s="1"/>
      <c r="L86" s="1"/>
      <c r="M86" s="1"/>
      <c r="N86" s="1"/>
      <c r="O86" s="1"/>
      <c r="P86" s="1"/>
      <c r="Q86" s="1"/>
      <c r="R86" s="1"/>
      <c r="S86" s="1"/>
      <c r="T86" s="1"/>
      <c r="U86" s="1"/>
      <c r="V86" s="1"/>
      <c r="W86" s="1"/>
      <c r="X86" s="1"/>
      <c r="AA86" s="419"/>
      <c r="AB86" s="419"/>
      <c r="AC86" s="419"/>
      <c r="AD86" s="419"/>
      <c r="AE86" s="419"/>
      <c r="AF86" s="419"/>
    </row>
    <row r="87" spans="1:32" x14ac:dyDescent="0.2">
      <c r="A87" s="1"/>
      <c r="B87" s="1" t="s">
        <v>703</v>
      </c>
      <c r="C87" s="409">
        <f t="shared" si="34"/>
        <v>0</v>
      </c>
      <c r="D87" s="409">
        <f t="shared" si="35"/>
        <v>0</v>
      </c>
      <c r="E87" s="411">
        <f t="shared" si="36"/>
        <v>0</v>
      </c>
      <c r="F87" s="411">
        <f t="shared" si="37"/>
        <v>0</v>
      </c>
      <c r="G87" s="452">
        <v>0.05</v>
      </c>
      <c r="H87" s="411">
        <f t="shared" si="38"/>
        <v>0</v>
      </c>
      <c r="I87" s="1"/>
      <c r="J87" s="1"/>
      <c r="K87" s="1"/>
      <c r="L87" s="1"/>
      <c r="M87" s="1"/>
      <c r="N87" s="1"/>
      <c r="O87" s="1"/>
      <c r="P87" s="1"/>
      <c r="Q87" s="1"/>
      <c r="R87" s="1"/>
      <c r="S87" s="1"/>
      <c r="T87" s="1"/>
      <c r="U87" s="1"/>
      <c r="V87" s="1"/>
      <c r="W87" s="1"/>
      <c r="X87" s="1"/>
      <c r="AA87" s="419"/>
      <c r="AB87" s="419"/>
      <c r="AC87" s="419"/>
      <c r="AD87" s="419"/>
      <c r="AE87" s="419"/>
      <c r="AF87" s="419"/>
    </row>
    <row r="88" spans="1:32" ht="15.75" thickBot="1" x14ac:dyDescent="0.25">
      <c r="A88" s="1"/>
      <c r="B88" s="1"/>
      <c r="C88" s="1"/>
      <c r="D88" s="1"/>
      <c r="E88" s="1"/>
      <c r="F88" s="1" t="s">
        <v>726</v>
      </c>
      <c r="G88" s="1"/>
      <c r="H88" s="440">
        <f>SUM(H82:H87)</f>
        <v>992.32275396822183</v>
      </c>
      <c r="I88" s="1"/>
      <c r="J88" s="1"/>
      <c r="K88" s="1"/>
      <c r="L88" s="1"/>
      <c r="M88" s="1"/>
      <c r="N88" s="1"/>
      <c r="O88" s="1"/>
      <c r="P88" s="1"/>
      <c r="Q88" s="1"/>
      <c r="R88" s="1"/>
      <c r="S88" s="1"/>
      <c r="T88" s="1"/>
      <c r="U88" s="1"/>
      <c r="V88" s="1"/>
      <c r="W88" s="1"/>
      <c r="X88" s="1"/>
      <c r="Y88" s="1"/>
      <c r="Z88" s="1"/>
      <c r="AA88" s="6"/>
    </row>
    <row r="89" spans="1:32" ht="15.75" thickTop="1" x14ac:dyDescent="0.2">
      <c r="A89" s="1"/>
      <c r="B89" s="1"/>
      <c r="C89" s="1"/>
      <c r="D89" s="1"/>
      <c r="E89" s="1"/>
      <c r="F89" s="1"/>
      <c r="G89" s="1"/>
      <c r="H89" s="1"/>
      <c r="I89" s="1"/>
      <c r="J89" s="1"/>
      <c r="K89" s="1"/>
      <c r="L89" s="1"/>
      <c r="M89" s="1"/>
      <c r="N89" s="1"/>
      <c r="O89" s="1"/>
      <c r="P89" s="1"/>
      <c r="Q89" s="1"/>
      <c r="R89" s="1"/>
      <c r="S89" s="1"/>
      <c r="T89" s="1"/>
      <c r="U89" s="1"/>
      <c r="V89" s="1"/>
      <c r="W89" s="1"/>
      <c r="X89" s="1"/>
      <c r="Y89" s="1"/>
      <c r="Z89" s="1"/>
      <c r="AA89" s="6"/>
    </row>
    <row r="90" spans="1:32" x14ac:dyDescent="0.2">
      <c r="A90" s="1"/>
      <c r="B90" s="1"/>
      <c r="C90" s="1"/>
      <c r="D90" s="1"/>
      <c r="E90" s="1"/>
      <c r="F90" s="1"/>
      <c r="G90" s="1"/>
      <c r="H90" s="1"/>
      <c r="I90" s="1"/>
      <c r="J90" s="1"/>
      <c r="K90" s="1"/>
      <c r="L90" s="1"/>
      <c r="M90" s="1"/>
      <c r="N90" s="1"/>
      <c r="O90" s="1"/>
      <c r="P90" s="1"/>
      <c r="Q90" s="1"/>
      <c r="R90" s="1"/>
      <c r="S90" s="1"/>
      <c r="T90" s="1"/>
      <c r="U90" s="1"/>
      <c r="V90" s="1"/>
      <c r="W90" s="1"/>
      <c r="X90" s="1"/>
      <c r="Y90" s="1"/>
      <c r="Z90" s="1"/>
      <c r="AA90" s="6"/>
    </row>
    <row r="91" spans="1:32" ht="15.75" x14ac:dyDescent="0.25">
      <c r="A91" s="1"/>
      <c r="B91" s="5" t="s">
        <v>727</v>
      </c>
      <c r="C91" s="1"/>
      <c r="D91" s="1"/>
      <c r="E91" s="1"/>
      <c r="F91" s="1"/>
      <c r="G91" s="1"/>
      <c r="H91" s="1"/>
      <c r="I91" s="1"/>
      <c r="J91" s="1"/>
      <c r="K91" s="1"/>
      <c r="L91" s="1"/>
      <c r="M91" s="1"/>
      <c r="N91" s="1"/>
      <c r="O91" s="1"/>
      <c r="P91" s="1"/>
      <c r="Q91" s="1"/>
      <c r="R91" s="1"/>
      <c r="S91" s="1"/>
      <c r="T91" s="1"/>
      <c r="U91" s="1"/>
      <c r="V91" s="1"/>
      <c r="W91" s="1"/>
      <c r="X91" s="1"/>
      <c r="Y91" s="1"/>
      <c r="Z91" s="1"/>
      <c r="AA91" s="6"/>
    </row>
    <row r="92" spans="1:32" x14ac:dyDescent="0.2">
      <c r="A92" s="1"/>
      <c r="B92" s="1"/>
      <c r="C92" s="1"/>
      <c r="D92" s="1"/>
      <c r="E92" s="1"/>
      <c r="F92" s="1"/>
      <c r="G92" s="1"/>
      <c r="H92" s="1"/>
      <c r="I92" s="1"/>
      <c r="J92" s="1"/>
      <c r="K92" s="1"/>
      <c r="L92" s="1"/>
      <c r="M92" s="1"/>
      <c r="N92" s="1"/>
      <c r="O92" s="1"/>
      <c r="P92" s="1"/>
      <c r="Q92" s="1"/>
      <c r="R92" s="1"/>
      <c r="S92" s="1"/>
      <c r="T92" s="1"/>
      <c r="U92" s="1"/>
      <c r="V92" s="1"/>
      <c r="W92" s="1"/>
      <c r="X92" s="1"/>
      <c r="Y92" s="1"/>
      <c r="Z92" s="1"/>
      <c r="AA92" s="6"/>
    </row>
    <row r="93" spans="1:32" ht="30" x14ac:dyDescent="0.2">
      <c r="A93" s="1"/>
      <c r="B93" s="1"/>
      <c r="C93" s="408" t="s">
        <v>892</v>
      </c>
      <c r="D93" s="408" t="s">
        <v>721</v>
      </c>
      <c r="E93" s="408" t="s">
        <v>728</v>
      </c>
      <c r="F93" s="408" t="s">
        <v>895</v>
      </c>
      <c r="G93" s="408" t="s">
        <v>673</v>
      </c>
      <c r="H93" s="408" t="s">
        <v>731</v>
      </c>
      <c r="I93" s="407" t="s">
        <v>659</v>
      </c>
      <c r="J93" s="407" t="s">
        <v>729</v>
      </c>
      <c r="K93" s="1"/>
      <c r="L93" s="1"/>
      <c r="M93" s="1"/>
      <c r="N93" s="1"/>
      <c r="O93" s="1"/>
      <c r="P93" s="1"/>
      <c r="Q93" s="1"/>
      <c r="R93" s="1"/>
      <c r="S93" s="1"/>
      <c r="T93" s="1"/>
      <c r="U93" s="1"/>
      <c r="V93" s="1"/>
      <c r="W93" s="1"/>
      <c r="X93" s="1"/>
      <c r="Y93" s="1"/>
      <c r="Z93" s="1"/>
      <c r="AA93" s="6"/>
    </row>
    <row r="94" spans="1:32" x14ac:dyDescent="0.2">
      <c r="A94" s="1"/>
      <c r="B94" s="1" t="s">
        <v>698</v>
      </c>
      <c r="C94" s="409">
        <f t="shared" ref="C94:C99" si="39">C41</f>
        <v>50.024999999999999</v>
      </c>
      <c r="D94" s="409">
        <f t="shared" ref="D94:D99" si="40">D54</f>
        <v>235.86000000000058</v>
      </c>
      <c r="E94" s="409">
        <f t="shared" ref="E94:E99" si="41">F16</f>
        <v>383.72</v>
      </c>
      <c r="F94" s="409">
        <f t="shared" ref="F94:F99" si="42">E54</f>
        <v>596</v>
      </c>
      <c r="G94" s="413">
        <f t="shared" ref="G94:G99" si="43">(POWER(((F94+E94)/2),0.75)/97.7)</f>
        <v>1.0657600088081574</v>
      </c>
      <c r="H94" s="413">
        <f t="shared" ref="H94:H99" si="44">D94/365*G94*C94</f>
        <v>34.451485034976898</v>
      </c>
      <c r="I94" s="413">
        <f>IF(D8&lt;=0,0,H94/$D$8)</f>
        <v>0.34451485034976898</v>
      </c>
      <c r="J94" s="413">
        <f t="shared" ref="J94:J100" si="45">IF(H94&lt;=0,0,$D$8/H94)</f>
        <v>2.9026324960585854</v>
      </c>
      <c r="K94" s="1"/>
      <c r="L94" s="1"/>
      <c r="M94" s="1"/>
      <c r="N94" s="1"/>
      <c r="O94" s="1"/>
      <c r="P94" s="1"/>
      <c r="Q94" s="1"/>
      <c r="R94" s="1"/>
      <c r="S94" s="1"/>
      <c r="T94" s="1"/>
      <c r="U94" s="1"/>
      <c r="V94" s="1"/>
      <c r="W94" s="1"/>
      <c r="X94" s="1"/>
      <c r="Y94" s="1"/>
      <c r="Z94" s="1"/>
      <c r="AA94" s="6"/>
    </row>
    <row r="95" spans="1:32" x14ac:dyDescent="0.2">
      <c r="A95" s="1"/>
      <c r="B95" s="1" t="s">
        <v>699</v>
      </c>
      <c r="C95" s="409">
        <f t="shared" si="39"/>
        <v>0</v>
      </c>
      <c r="D95" s="409">
        <f t="shared" si="40"/>
        <v>0</v>
      </c>
      <c r="E95" s="409">
        <f t="shared" si="41"/>
        <v>0</v>
      </c>
      <c r="F95" s="409">
        <f t="shared" si="42"/>
        <v>0</v>
      </c>
      <c r="G95" s="413">
        <f t="shared" si="43"/>
        <v>0</v>
      </c>
      <c r="H95" s="413">
        <f t="shared" si="44"/>
        <v>0</v>
      </c>
      <c r="I95" s="413">
        <f>IF(D8&lt;=0,0,H95/$D$8)</f>
        <v>0</v>
      </c>
      <c r="J95" s="413">
        <f t="shared" si="45"/>
        <v>0</v>
      </c>
      <c r="K95" s="1"/>
      <c r="L95" s="1"/>
      <c r="M95" s="1"/>
      <c r="N95" s="1"/>
      <c r="O95" s="1"/>
      <c r="P95" s="1"/>
      <c r="Q95" s="1"/>
      <c r="R95" s="1"/>
      <c r="S95" s="1"/>
      <c r="T95" s="1"/>
      <c r="U95" s="1"/>
      <c r="V95" s="1"/>
      <c r="W95" s="1"/>
      <c r="X95" s="1"/>
      <c r="Y95" s="1"/>
      <c r="Z95" s="1"/>
      <c r="AA95" s="6"/>
    </row>
    <row r="96" spans="1:32" x14ac:dyDescent="0.2">
      <c r="A96" s="1"/>
      <c r="B96" s="1" t="s">
        <v>700</v>
      </c>
      <c r="C96" s="409">
        <f t="shared" si="39"/>
        <v>0</v>
      </c>
      <c r="D96" s="409">
        <f t="shared" si="40"/>
        <v>0</v>
      </c>
      <c r="E96" s="409">
        <f t="shared" si="41"/>
        <v>0</v>
      </c>
      <c r="F96" s="409">
        <f t="shared" si="42"/>
        <v>0</v>
      </c>
      <c r="G96" s="413">
        <f t="shared" si="43"/>
        <v>0</v>
      </c>
      <c r="H96" s="413">
        <f t="shared" si="44"/>
        <v>0</v>
      </c>
      <c r="I96" s="413">
        <f>IF(D8&lt;=0,0,H96/$D$8)</f>
        <v>0</v>
      </c>
      <c r="J96" s="413">
        <f t="shared" si="45"/>
        <v>0</v>
      </c>
      <c r="K96" s="1"/>
      <c r="L96" s="1"/>
      <c r="M96" s="1"/>
      <c r="N96" s="1"/>
      <c r="O96" s="1"/>
      <c r="P96" s="1"/>
      <c r="Q96" s="1"/>
      <c r="R96" s="1"/>
      <c r="S96" s="1"/>
      <c r="T96" s="1"/>
      <c r="U96" s="1"/>
      <c r="V96" s="1"/>
      <c r="W96" s="1"/>
      <c r="X96" s="1"/>
      <c r="Y96" s="1"/>
      <c r="Z96" s="1"/>
      <c r="AA96" s="6"/>
    </row>
    <row r="97" spans="1:44" x14ac:dyDescent="0.2">
      <c r="A97" s="1"/>
      <c r="B97" s="1" t="s">
        <v>701</v>
      </c>
      <c r="C97" s="409">
        <f t="shared" si="39"/>
        <v>0</v>
      </c>
      <c r="D97" s="409">
        <f t="shared" si="40"/>
        <v>0</v>
      </c>
      <c r="E97" s="409">
        <f t="shared" si="41"/>
        <v>0</v>
      </c>
      <c r="F97" s="409">
        <f t="shared" si="42"/>
        <v>0</v>
      </c>
      <c r="G97" s="413">
        <f t="shared" si="43"/>
        <v>0</v>
      </c>
      <c r="H97" s="413">
        <f t="shared" si="44"/>
        <v>0</v>
      </c>
      <c r="I97" s="413">
        <f>IF(D8&lt;=0,0,H97/$D$8)</f>
        <v>0</v>
      </c>
      <c r="J97" s="413">
        <f t="shared" si="45"/>
        <v>0</v>
      </c>
      <c r="K97" s="1"/>
      <c r="L97" s="1"/>
      <c r="M97" s="1"/>
      <c r="N97" s="1"/>
      <c r="O97" s="1"/>
      <c r="P97" s="1"/>
      <c r="Q97" s="1"/>
      <c r="R97" s="1"/>
      <c r="S97" s="1"/>
      <c r="T97" s="1"/>
      <c r="U97" s="1"/>
      <c r="V97" s="1"/>
      <c r="W97" s="1"/>
      <c r="X97" s="1"/>
      <c r="Y97" s="1"/>
      <c r="Z97" s="1"/>
      <c r="AA97" s="6"/>
    </row>
    <row r="98" spans="1:44" x14ac:dyDescent="0.2">
      <c r="A98" s="1"/>
      <c r="B98" s="1" t="s">
        <v>702</v>
      </c>
      <c r="C98" s="409">
        <f t="shared" si="39"/>
        <v>0</v>
      </c>
      <c r="D98" s="409">
        <f t="shared" si="40"/>
        <v>0</v>
      </c>
      <c r="E98" s="409">
        <f t="shared" si="41"/>
        <v>0</v>
      </c>
      <c r="F98" s="409">
        <f t="shared" si="42"/>
        <v>0</v>
      </c>
      <c r="G98" s="413">
        <f t="shared" si="43"/>
        <v>0</v>
      </c>
      <c r="H98" s="413">
        <f t="shared" si="44"/>
        <v>0</v>
      </c>
      <c r="I98" s="413">
        <f>IF(D8&lt;=0,0,H98/$D$8)</f>
        <v>0</v>
      </c>
      <c r="J98" s="413">
        <f t="shared" si="45"/>
        <v>0</v>
      </c>
      <c r="K98" s="1"/>
      <c r="L98" s="1"/>
      <c r="M98" s="1"/>
      <c r="N98" s="1"/>
      <c r="O98" s="1"/>
      <c r="P98" s="1"/>
      <c r="Q98" s="1"/>
      <c r="R98" s="1"/>
      <c r="S98" s="1"/>
      <c r="T98" s="1"/>
      <c r="U98" s="1"/>
      <c r="V98" s="1"/>
      <c r="W98" s="1"/>
      <c r="X98" s="1"/>
      <c r="Y98" s="1"/>
      <c r="Z98" s="1"/>
      <c r="AA98" s="6"/>
    </row>
    <row r="99" spans="1:44" x14ac:dyDescent="0.2">
      <c r="A99" s="1"/>
      <c r="B99" s="1" t="s">
        <v>703</v>
      </c>
      <c r="C99" s="409">
        <f t="shared" si="39"/>
        <v>0</v>
      </c>
      <c r="D99" s="409">
        <f t="shared" si="40"/>
        <v>0</v>
      </c>
      <c r="E99" s="409">
        <f t="shared" si="41"/>
        <v>0</v>
      </c>
      <c r="F99" s="409">
        <f t="shared" si="42"/>
        <v>0</v>
      </c>
      <c r="G99" s="413">
        <f t="shared" si="43"/>
        <v>0</v>
      </c>
      <c r="H99" s="413">
        <f t="shared" si="44"/>
        <v>0</v>
      </c>
      <c r="I99" s="413">
        <f>IF(D8&lt;=0,0,H99/$D$8)</f>
        <v>0</v>
      </c>
      <c r="J99" s="413">
        <f t="shared" si="45"/>
        <v>0</v>
      </c>
      <c r="K99" s="1"/>
      <c r="L99" s="1"/>
      <c r="M99" s="1"/>
      <c r="N99" s="1"/>
      <c r="O99" s="1"/>
      <c r="P99" s="1"/>
      <c r="Q99" s="1"/>
      <c r="R99" s="1"/>
      <c r="S99" s="1"/>
      <c r="T99" s="1"/>
      <c r="U99" s="1"/>
      <c r="V99" s="1"/>
      <c r="W99" s="1"/>
      <c r="X99" s="1"/>
      <c r="Y99" s="1"/>
      <c r="Z99" s="1"/>
      <c r="AA99" s="6"/>
    </row>
    <row r="100" spans="1:44" x14ac:dyDescent="0.2">
      <c r="A100" s="1"/>
      <c r="B100" s="1"/>
      <c r="C100" s="1"/>
      <c r="D100" s="1"/>
      <c r="E100" s="1"/>
      <c r="F100" s="1"/>
      <c r="G100" s="1" t="s">
        <v>730</v>
      </c>
      <c r="H100" s="453">
        <f>SUM(H94:H99)</f>
        <v>34.451485034976898</v>
      </c>
      <c r="I100" s="418">
        <f>IF(D8&lt;=0,0,H100/$D$8)</f>
        <v>0.34451485034976898</v>
      </c>
      <c r="J100" s="418">
        <f t="shared" si="45"/>
        <v>2.9026324960585854</v>
      </c>
      <c r="K100" s="1"/>
      <c r="L100" s="1"/>
      <c r="M100" s="1"/>
      <c r="N100" s="1"/>
      <c r="O100" s="1"/>
      <c r="P100" s="1"/>
      <c r="Q100" s="1"/>
      <c r="R100" s="1"/>
      <c r="S100" s="1"/>
      <c r="T100" s="1"/>
      <c r="U100" s="1"/>
      <c r="V100" s="1"/>
      <c r="W100" s="1"/>
      <c r="X100" s="1"/>
      <c r="Y100" s="1"/>
      <c r="Z100" s="1"/>
      <c r="AA100" s="6"/>
    </row>
    <row r="101" spans="1:44"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6"/>
    </row>
    <row r="102" spans="1:44" x14ac:dyDescent="0.2">
      <c r="A102" s="1"/>
      <c r="B102" s="1"/>
      <c r="C102" s="1"/>
      <c r="D102" s="1"/>
      <c r="E102" s="1"/>
      <c r="F102" s="1"/>
      <c r="G102" s="1"/>
      <c r="H102" s="1"/>
      <c r="I102" s="1"/>
      <c r="J102" s="1"/>
      <c r="K102" s="1"/>
      <c r="L102" s="1"/>
      <c r="M102" s="1"/>
      <c r="N102" s="1"/>
      <c r="O102" s="1"/>
      <c r="P102" s="1"/>
      <c r="Q102" s="1"/>
      <c r="R102" s="1" t="s">
        <v>788</v>
      </c>
      <c r="S102" s="1"/>
      <c r="T102" s="1"/>
      <c r="U102" s="1"/>
      <c r="W102" s="1"/>
      <c r="X102" s="1"/>
      <c r="Y102" s="1" t="s">
        <v>789</v>
      </c>
      <c r="Z102" s="1"/>
      <c r="AA102" s="6"/>
    </row>
    <row r="103" spans="1:44"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6"/>
    </row>
    <row r="104" spans="1:44"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6"/>
    </row>
    <row r="105" spans="1:44" ht="15.75" x14ac:dyDescent="0.25">
      <c r="A105" s="1"/>
      <c r="B105" s="446" t="s">
        <v>397</v>
      </c>
      <c r="C105" s="1"/>
      <c r="D105" s="1"/>
      <c r="E105" s="1"/>
      <c r="F105" s="1"/>
      <c r="G105" s="1"/>
      <c r="H105" s="1"/>
      <c r="I105" s="1"/>
      <c r="J105" s="1"/>
      <c r="K105" s="1"/>
      <c r="L105" s="1"/>
      <c r="M105" s="1"/>
      <c r="N105" s="1"/>
      <c r="O105" s="1"/>
      <c r="P105" s="1"/>
      <c r="Q105" s="1"/>
      <c r="R105" s="1"/>
      <c r="S105" s="1"/>
      <c r="T105" s="1"/>
      <c r="U105" s="1"/>
      <c r="V105" s="1"/>
      <c r="W105" s="1"/>
      <c r="X105" s="1"/>
      <c r="Y105" s="1"/>
      <c r="Z105" s="1"/>
      <c r="AA105" s="6"/>
    </row>
    <row r="106" spans="1:44" x14ac:dyDescent="0.2">
      <c r="A106" s="1"/>
      <c r="B106" s="1"/>
      <c r="C106" s="1"/>
      <c r="D106" s="1"/>
      <c r="E106" s="1"/>
      <c r="F106" s="1"/>
      <c r="G106" s="1"/>
      <c r="H106" s="1"/>
      <c r="I106" s="1"/>
      <c r="J106" s="1"/>
      <c r="K106" s="1"/>
      <c r="L106" s="1"/>
      <c r="M106" s="1"/>
      <c r="N106" s="1"/>
      <c r="O106" s="1"/>
      <c r="P106" s="1"/>
      <c r="Q106" s="1"/>
    </row>
    <row r="107" spans="1:44" ht="15.75" x14ac:dyDescent="0.25">
      <c r="C107" s="446" t="s">
        <v>620</v>
      </c>
      <c r="D107" s="1" t="s">
        <v>398</v>
      </c>
      <c r="E107" s="1"/>
      <c r="F107" s="1"/>
      <c r="G107" s="1"/>
      <c r="H107" s="1"/>
      <c r="I107" s="1"/>
      <c r="J107" s="1"/>
      <c r="L107" s="446" t="s">
        <v>582</v>
      </c>
      <c r="N107" s="446" t="s">
        <v>620</v>
      </c>
      <c r="O107" s="1"/>
      <c r="P107" s="1"/>
      <c r="Q107" s="1"/>
      <c r="R107" s="1"/>
      <c r="S107" s="1"/>
      <c r="T107" s="1"/>
      <c r="U107" s="1"/>
      <c r="Y107" s="446" t="s">
        <v>795</v>
      </c>
      <c r="Z107" s="446" t="s">
        <v>393</v>
      </c>
      <c r="AA107" s="6"/>
      <c r="AB107" s="6"/>
      <c r="AC107" s="6"/>
      <c r="AD107" s="6"/>
      <c r="AE107" s="6"/>
      <c r="AF107" s="6"/>
      <c r="AG107" s="1"/>
      <c r="AI107" s="446" t="s">
        <v>582</v>
      </c>
      <c r="AJ107" s="446" t="s">
        <v>393</v>
      </c>
      <c r="AL107" s="1"/>
      <c r="AM107" s="1"/>
      <c r="AN107" s="1"/>
      <c r="AO107" s="1"/>
      <c r="AP107" s="1"/>
      <c r="AQ107" s="1"/>
      <c r="AR107" s="1"/>
    </row>
    <row r="108" spans="1:44" x14ac:dyDescent="0.2">
      <c r="B108" s="65"/>
      <c r="C108" s="1"/>
      <c r="D108" s="14"/>
      <c r="E108" s="14"/>
      <c r="F108" s="14"/>
      <c r="G108" s="14"/>
      <c r="H108" s="14"/>
      <c r="I108" s="14"/>
      <c r="J108" s="14"/>
      <c r="L108" s="65"/>
      <c r="M108" s="1"/>
      <c r="N108" s="14"/>
      <c r="O108" s="14"/>
      <c r="P108" s="14"/>
      <c r="Q108" s="14"/>
      <c r="R108" s="14"/>
      <c r="S108" s="14"/>
      <c r="T108" s="14"/>
      <c r="U108" s="14"/>
      <c r="Y108" s="65"/>
      <c r="Z108" s="1"/>
      <c r="AA108" s="6"/>
      <c r="AB108" s="6"/>
      <c r="AC108" s="6"/>
      <c r="AD108" s="6"/>
      <c r="AE108" s="6"/>
      <c r="AF108" s="6"/>
      <c r="AG108" s="14"/>
      <c r="AI108" s="65"/>
      <c r="AJ108" s="1"/>
      <c r="AK108" s="14"/>
      <c r="AL108" s="14"/>
      <c r="AM108" s="14"/>
      <c r="AN108" s="14"/>
      <c r="AO108" s="14"/>
      <c r="AP108" s="14"/>
      <c r="AQ108" s="14"/>
      <c r="AR108" s="14"/>
    </row>
    <row r="109" spans="1:44" ht="15.75" x14ac:dyDescent="0.25">
      <c r="B109" s="482" t="s">
        <v>994</v>
      </c>
      <c r="C109" s="483" t="s">
        <v>583</v>
      </c>
      <c r="D109" s="484" t="s">
        <v>616</v>
      </c>
      <c r="E109" s="482" t="s">
        <v>619</v>
      </c>
      <c r="F109" s="485" t="s">
        <v>617</v>
      </c>
      <c r="G109" s="485" t="s">
        <v>245</v>
      </c>
      <c r="H109" s="486" t="s">
        <v>489</v>
      </c>
      <c r="I109" s="486" t="s">
        <v>490</v>
      </c>
      <c r="L109" s="482" t="s">
        <v>994</v>
      </c>
      <c r="M109" s="483" t="s">
        <v>583</v>
      </c>
      <c r="N109" s="484" t="s">
        <v>616</v>
      </c>
      <c r="O109" s="482" t="s">
        <v>619</v>
      </c>
      <c r="P109" s="485" t="s">
        <v>617</v>
      </c>
      <c r="Q109" s="482"/>
      <c r="R109" s="485" t="s">
        <v>245</v>
      </c>
      <c r="S109" s="487" t="s">
        <v>489</v>
      </c>
      <c r="T109" s="487" t="s">
        <v>490</v>
      </c>
      <c r="U109" s="1"/>
      <c r="Y109" s="488" t="s">
        <v>994</v>
      </c>
      <c r="Z109" s="94" t="s">
        <v>583</v>
      </c>
      <c r="AA109" s="488" t="s">
        <v>616</v>
      </c>
      <c r="AB109" s="488" t="s">
        <v>619</v>
      </c>
      <c r="AC109" s="488" t="s">
        <v>617</v>
      </c>
      <c r="AD109" s="488" t="s">
        <v>618</v>
      </c>
      <c r="AE109" s="489" t="s">
        <v>489</v>
      </c>
      <c r="AF109" s="489" t="s">
        <v>490</v>
      </c>
      <c r="AI109" s="488" t="s">
        <v>994</v>
      </c>
      <c r="AJ109" s="94" t="s">
        <v>583</v>
      </c>
      <c r="AK109" s="490" t="s">
        <v>616</v>
      </c>
      <c r="AL109" s="488" t="s">
        <v>619</v>
      </c>
      <c r="AM109" s="74" t="s">
        <v>617</v>
      </c>
      <c r="AN109" s="488"/>
      <c r="AO109" s="74" t="s">
        <v>618</v>
      </c>
      <c r="AP109" s="72" t="s">
        <v>489</v>
      </c>
      <c r="AQ109" s="72" t="s">
        <v>490</v>
      </c>
      <c r="AR109" s="1"/>
    </row>
    <row r="110" spans="1:44" ht="15.75" x14ac:dyDescent="0.25">
      <c r="B110" s="435"/>
      <c r="C110" s="491" t="str">
        <f>IF(B110&lt;=0,"",VLOOKUP(B110,Treatments!$C$7:$J$407,2))</f>
        <v/>
      </c>
      <c r="D110" s="492"/>
      <c r="E110" s="433">
        <f>VLOOKUP(B110,Treatments!$C$7:$J$407,8)</f>
        <v>0</v>
      </c>
      <c r="F110" s="435"/>
      <c r="G110" s="493"/>
      <c r="H110" s="433">
        <f>D110*E110*F110*G110</f>
        <v>0</v>
      </c>
      <c r="I110" s="411">
        <f>H110*$D$9</f>
        <v>0</v>
      </c>
      <c r="L110" s="305">
        <v>347</v>
      </c>
      <c r="M110" s="491" t="str">
        <f>VLOOKUP(L110,Treatments!$C$7:$J$407,2)</f>
        <v>Chisel plough</v>
      </c>
      <c r="N110" s="306">
        <v>1</v>
      </c>
      <c r="O110" s="433">
        <f>VLOOKUP(L110,Treatments!$C$7:$J$407,8)</f>
        <v>30.257142857142856</v>
      </c>
      <c r="P110" s="305">
        <v>1</v>
      </c>
      <c r="Q110" s="494"/>
      <c r="R110" s="493">
        <v>1</v>
      </c>
      <c r="S110" s="433">
        <f t="shared" ref="S110:S115" si="46">N110*O110*P110*R110</f>
        <v>30.257142857142856</v>
      </c>
      <c r="T110" s="411">
        <f t="shared" ref="T110:T115" si="47">S110*$D$9</f>
        <v>3025.7142857142858</v>
      </c>
      <c r="U110" s="1"/>
      <c r="Y110" s="447">
        <f>IF(AND(B110&gt;=344,B110&lt;=358),B110+15,B110)</f>
        <v>0</v>
      </c>
      <c r="Z110" s="491" t="str">
        <f>VLOOKUP(Y110,Treatments!$C$7:$J$407,2)</f>
        <v>No treatment</v>
      </c>
      <c r="AA110" s="495">
        <f>D110</f>
        <v>0</v>
      </c>
      <c r="AB110" s="433">
        <f>VLOOKUP(Y110,Treatments!$C$7:$J$407,8)</f>
        <v>0</v>
      </c>
      <c r="AC110" s="495">
        <f>F110</f>
        <v>0</v>
      </c>
      <c r="AD110" s="496">
        <f>G110</f>
        <v>0</v>
      </c>
      <c r="AE110" s="433">
        <f>AA110*AB110*AC110*AD110</f>
        <v>0</v>
      </c>
      <c r="AF110" s="411">
        <f t="shared" ref="AF110:AF124" si="48">AE110*$D$9</f>
        <v>0</v>
      </c>
      <c r="AI110" s="447">
        <f t="shared" ref="AI110:AI115" si="49">IF(AND(L110&gt;=344,L110&lt;=358),L110+15,L110)</f>
        <v>362</v>
      </c>
      <c r="AJ110" s="491" t="str">
        <f>VLOOKUP(AI110,Treatments!$C$7:$J$407,2)</f>
        <v>Chisel plough</v>
      </c>
      <c r="AK110" s="495">
        <f t="shared" ref="AK110:AK115" si="50">N110</f>
        <v>1</v>
      </c>
      <c r="AL110" s="433">
        <f>VLOOKUP(AI110,Treatments!$C$7:$J$407,8)</f>
        <v>56.462857142857146</v>
      </c>
      <c r="AM110" s="495">
        <f t="shared" ref="AM110:AM115" si="51">P110</f>
        <v>1</v>
      </c>
      <c r="AN110" s="494"/>
      <c r="AO110" s="496">
        <f t="shared" ref="AO110:AO115" si="52">R110</f>
        <v>1</v>
      </c>
      <c r="AP110" s="433">
        <f t="shared" ref="AP110:AP115" si="53">AK110*AL110*AM110*AO110</f>
        <v>56.462857142857146</v>
      </c>
      <c r="AQ110" s="411">
        <f t="shared" ref="AQ110:AQ115" si="54">AP110*$D$9</f>
        <v>5646.2857142857147</v>
      </c>
      <c r="AR110" s="1"/>
    </row>
    <row r="111" spans="1:44" ht="15.75" x14ac:dyDescent="0.25">
      <c r="B111" s="435"/>
      <c r="C111" s="491" t="str">
        <f>IF(B111&lt;=0,"",VLOOKUP(B111,Treatments!$C$7:$J$407,2))</f>
        <v/>
      </c>
      <c r="D111" s="492"/>
      <c r="E111" s="433">
        <f>VLOOKUP(B111,Treatments!$C$7:$J$407,8)</f>
        <v>0</v>
      </c>
      <c r="F111" s="435"/>
      <c r="G111" s="493"/>
      <c r="H111" s="433">
        <f>D111*E111*F111*G111</f>
        <v>0</v>
      </c>
      <c r="I111" s="411">
        <f t="shared" ref="I111:I124" si="55">H111*$D$9</f>
        <v>0</v>
      </c>
      <c r="L111" s="305">
        <v>344</v>
      </c>
      <c r="M111" s="491" t="str">
        <f>VLOOKUP(L111,Treatments!$C$7:$J$407,2)</f>
        <v>Linkage spray rig</v>
      </c>
      <c r="N111" s="306">
        <v>1</v>
      </c>
      <c r="O111" s="433">
        <f>VLOOKUP(L111,Treatments!$C$7:$J$407,8)</f>
        <v>3.3779411764705882</v>
      </c>
      <c r="P111" s="305">
        <v>3</v>
      </c>
      <c r="Q111" s="497"/>
      <c r="R111" s="493">
        <v>1</v>
      </c>
      <c r="S111" s="433">
        <f t="shared" si="46"/>
        <v>10.133823529411764</v>
      </c>
      <c r="T111" s="411">
        <f t="shared" si="47"/>
        <v>1013.3823529411764</v>
      </c>
      <c r="U111" s="1"/>
      <c r="Y111" s="447">
        <f t="shared" ref="Y111:Y124" si="56">IF(AND(B111&gt;=344,B111&lt;=358),B111+15,B111)</f>
        <v>0</v>
      </c>
      <c r="Z111" s="491" t="str">
        <f>VLOOKUP(Y111,Treatments!$C$7:$J$407,2)</f>
        <v>No treatment</v>
      </c>
      <c r="AA111" s="495">
        <f t="shared" ref="AA111:AA124" si="57">D111</f>
        <v>0</v>
      </c>
      <c r="AB111" s="433">
        <f>VLOOKUP(Y111,Treatments!$C$7:$J$407,8)</f>
        <v>0</v>
      </c>
      <c r="AC111" s="495">
        <f t="shared" ref="AC111:AD124" si="58">F111</f>
        <v>0</v>
      </c>
      <c r="AD111" s="496">
        <f t="shared" si="58"/>
        <v>0</v>
      </c>
      <c r="AE111" s="433">
        <f>AA111*AB111*AC111*AD111</f>
        <v>0</v>
      </c>
      <c r="AF111" s="411">
        <f t="shared" si="48"/>
        <v>0</v>
      </c>
      <c r="AI111" s="447">
        <f t="shared" si="49"/>
        <v>359</v>
      </c>
      <c r="AJ111" s="491" t="str">
        <f>VLOOKUP(AI111,Treatments!$C$7:$J$407,2)</f>
        <v>Linkage spray rig</v>
      </c>
      <c r="AK111" s="495">
        <f t="shared" si="50"/>
        <v>1</v>
      </c>
      <c r="AL111" s="433">
        <f>VLOOKUP(AI111,Treatments!$C$7:$J$407,8)</f>
        <v>8.01</v>
      </c>
      <c r="AM111" s="495">
        <f t="shared" si="51"/>
        <v>3</v>
      </c>
      <c r="AN111" s="497"/>
      <c r="AO111" s="496">
        <f t="shared" si="52"/>
        <v>1</v>
      </c>
      <c r="AP111" s="433">
        <f t="shared" si="53"/>
        <v>24.03</v>
      </c>
      <c r="AQ111" s="411">
        <f t="shared" si="54"/>
        <v>2403</v>
      </c>
      <c r="AR111" s="1"/>
    </row>
    <row r="112" spans="1:44" ht="15.75" x14ac:dyDescent="0.25">
      <c r="B112" s="435"/>
      <c r="C112" s="491" t="str">
        <f>IF(B112&lt;=0,"",VLOOKUP(B112,Treatments!$C$7:$J$407,2))</f>
        <v/>
      </c>
      <c r="D112" s="492"/>
      <c r="E112" s="433">
        <f>VLOOKUP(B112,Treatments!$C$7:$J$407,8)</f>
        <v>0</v>
      </c>
      <c r="F112" s="435"/>
      <c r="G112" s="493"/>
      <c r="H112" s="433">
        <f t="shared" ref="H112:H122" si="59">D112*E112*F112*G112</f>
        <v>0</v>
      </c>
      <c r="I112" s="411">
        <f t="shared" si="55"/>
        <v>0</v>
      </c>
      <c r="L112" s="305">
        <v>162</v>
      </c>
      <c r="M112" s="491" t="str">
        <f>VLOOKUP(L112,Treatments!$C$7:$J$407,2)</f>
        <v>Roundup CT</v>
      </c>
      <c r="N112" s="306">
        <v>1.5</v>
      </c>
      <c r="O112" s="433">
        <f>VLOOKUP(L112,Treatments!$C$7:$J$407,8)</f>
        <v>4.5</v>
      </c>
      <c r="P112" s="305">
        <v>3</v>
      </c>
      <c r="Q112" s="160"/>
      <c r="R112" s="493">
        <v>1</v>
      </c>
      <c r="S112" s="433">
        <f t="shared" si="46"/>
        <v>20.25</v>
      </c>
      <c r="T112" s="411">
        <f t="shared" si="47"/>
        <v>2025</v>
      </c>
      <c r="U112" s="1"/>
      <c r="Y112" s="447">
        <f t="shared" si="56"/>
        <v>0</v>
      </c>
      <c r="Z112" s="491" t="str">
        <f>VLOOKUP(Y112,Treatments!$C$7:$J$407,2)</f>
        <v>No treatment</v>
      </c>
      <c r="AA112" s="495">
        <f t="shared" si="57"/>
        <v>0</v>
      </c>
      <c r="AB112" s="433">
        <f>VLOOKUP(Y112,Treatments!$C$7:$J$407,8)</f>
        <v>0</v>
      </c>
      <c r="AC112" s="495">
        <f t="shared" si="58"/>
        <v>0</v>
      </c>
      <c r="AD112" s="496">
        <f t="shared" si="58"/>
        <v>0</v>
      </c>
      <c r="AE112" s="433">
        <f t="shared" ref="AE112:AE122" si="60">AA112*AB112*AC112*AD112</f>
        <v>0</v>
      </c>
      <c r="AF112" s="411">
        <f t="shared" si="48"/>
        <v>0</v>
      </c>
      <c r="AI112" s="447">
        <f t="shared" si="49"/>
        <v>162</v>
      </c>
      <c r="AJ112" s="491" t="str">
        <f>VLOOKUP(AI112,Treatments!$C$7:$J$407,2)</f>
        <v>Roundup CT</v>
      </c>
      <c r="AK112" s="495">
        <f t="shared" si="50"/>
        <v>1.5</v>
      </c>
      <c r="AL112" s="433">
        <f>VLOOKUP(AI112,Treatments!$C$7:$J$407,8)</f>
        <v>4.5</v>
      </c>
      <c r="AM112" s="495">
        <f t="shared" si="51"/>
        <v>3</v>
      </c>
      <c r="AN112" s="160"/>
      <c r="AO112" s="496">
        <f t="shared" si="52"/>
        <v>1</v>
      </c>
      <c r="AP112" s="433">
        <f t="shared" si="53"/>
        <v>20.25</v>
      </c>
      <c r="AQ112" s="411">
        <f t="shared" si="54"/>
        <v>2025</v>
      </c>
      <c r="AR112" s="1"/>
    </row>
    <row r="113" spans="2:44" ht="15.75" x14ac:dyDescent="0.25">
      <c r="B113" s="435"/>
      <c r="C113" s="491" t="str">
        <f>IF(B113&lt;=0,"",VLOOKUP(B113,Treatments!$C$7:$J$407,2))</f>
        <v/>
      </c>
      <c r="D113" s="492"/>
      <c r="E113" s="433">
        <f>VLOOKUP(B113,Treatments!$C$7:$J$407,8)</f>
        <v>0</v>
      </c>
      <c r="F113" s="435"/>
      <c r="G113" s="493"/>
      <c r="H113" s="433">
        <f t="shared" si="59"/>
        <v>0</v>
      </c>
      <c r="I113" s="411">
        <f t="shared" si="55"/>
        <v>0</v>
      </c>
      <c r="L113" s="305">
        <v>127</v>
      </c>
      <c r="M113" s="491" t="str">
        <f>VLOOKUP(L113,Treatments!$C$7:$J$407,2)</f>
        <v>Amicide 625</v>
      </c>
      <c r="N113" s="306">
        <v>0.5</v>
      </c>
      <c r="O113" s="433">
        <f>VLOOKUP(L113,Treatments!$C$7:$J$407,8)</f>
        <v>6.82</v>
      </c>
      <c r="P113" s="305">
        <v>3</v>
      </c>
      <c r="Q113" s="498"/>
      <c r="R113" s="493">
        <v>1</v>
      </c>
      <c r="S113" s="433">
        <f t="shared" si="46"/>
        <v>10.23</v>
      </c>
      <c r="T113" s="411">
        <f t="shared" si="47"/>
        <v>1023</v>
      </c>
      <c r="U113" s="1"/>
      <c r="Y113" s="447">
        <f t="shared" si="56"/>
        <v>0</v>
      </c>
      <c r="Z113" s="491" t="str">
        <f>VLOOKUP(Y113,Treatments!$C$7:$J$407,2)</f>
        <v>No treatment</v>
      </c>
      <c r="AA113" s="495">
        <f t="shared" si="57"/>
        <v>0</v>
      </c>
      <c r="AB113" s="433">
        <f>VLOOKUP(Y113,Treatments!$C$7:$J$407,8)</f>
        <v>0</v>
      </c>
      <c r="AC113" s="495">
        <f t="shared" si="58"/>
        <v>0</v>
      </c>
      <c r="AD113" s="496">
        <f t="shared" si="58"/>
        <v>0</v>
      </c>
      <c r="AE113" s="433">
        <f t="shared" si="60"/>
        <v>0</v>
      </c>
      <c r="AF113" s="411">
        <f t="shared" si="48"/>
        <v>0</v>
      </c>
      <c r="AI113" s="447">
        <f t="shared" si="49"/>
        <v>127</v>
      </c>
      <c r="AJ113" s="491" t="str">
        <f>VLOOKUP(AI113,Treatments!$C$7:$J$407,2)</f>
        <v>Amicide 625</v>
      </c>
      <c r="AK113" s="495">
        <f t="shared" si="50"/>
        <v>0.5</v>
      </c>
      <c r="AL113" s="433">
        <f>VLOOKUP(AI113,Treatments!$C$7:$J$407,8)</f>
        <v>6.82</v>
      </c>
      <c r="AM113" s="495">
        <f t="shared" si="51"/>
        <v>3</v>
      </c>
      <c r="AN113" s="498"/>
      <c r="AO113" s="496">
        <f t="shared" si="52"/>
        <v>1</v>
      </c>
      <c r="AP113" s="433">
        <f t="shared" si="53"/>
        <v>10.23</v>
      </c>
      <c r="AQ113" s="411">
        <f t="shared" si="54"/>
        <v>1023</v>
      </c>
      <c r="AR113" s="1"/>
    </row>
    <row r="114" spans="2:44" x14ac:dyDescent="0.2">
      <c r="B114" s="435"/>
      <c r="C114" s="491" t="str">
        <f>IF(B114&lt;=0,"",VLOOKUP(B114,Treatments!$C$7:$J$407,2))</f>
        <v/>
      </c>
      <c r="D114" s="492"/>
      <c r="E114" s="433">
        <f>VLOOKUP(B114,Treatments!$C$7:$J$407,8)</f>
        <v>0</v>
      </c>
      <c r="F114" s="435"/>
      <c r="G114" s="493"/>
      <c r="H114" s="433">
        <f t="shared" si="59"/>
        <v>0</v>
      </c>
      <c r="I114" s="411">
        <f t="shared" si="55"/>
        <v>0</v>
      </c>
      <c r="L114" s="435"/>
      <c r="M114" s="491" t="str">
        <f>VLOOKUP(L114,Treatments!$C$7:$J$407,2)</f>
        <v>No treatment</v>
      </c>
      <c r="N114" s="492"/>
      <c r="O114" s="433">
        <f>VLOOKUP(L114,Treatments!$C$7:$J$407,8)</f>
        <v>0</v>
      </c>
      <c r="P114" s="435"/>
      <c r="Q114" s="498"/>
      <c r="R114" s="493">
        <v>1</v>
      </c>
      <c r="S114" s="433">
        <f t="shared" si="46"/>
        <v>0</v>
      </c>
      <c r="T114" s="411">
        <f t="shared" si="47"/>
        <v>0</v>
      </c>
      <c r="U114" s="1"/>
      <c r="Y114" s="447">
        <f t="shared" si="56"/>
        <v>0</v>
      </c>
      <c r="Z114" s="491" t="str">
        <f>VLOOKUP(Y114,Treatments!$C$7:$J$407,2)</f>
        <v>No treatment</v>
      </c>
      <c r="AA114" s="495">
        <f t="shared" si="57"/>
        <v>0</v>
      </c>
      <c r="AB114" s="433">
        <f>VLOOKUP(Y114,Treatments!$C$7:$J$407,8)</f>
        <v>0</v>
      </c>
      <c r="AC114" s="495">
        <f t="shared" si="58"/>
        <v>0</v>
      </c>
      <c r="AD114" s="496">
        <f t="shared" si="58"/>
        <v>0</v>
      </c>
      <c r="AE114" s="433">
        <f t="shared" si="60"/>
        <v>0</v>
      </c>
      <c r="AF114" s="411">
        <f t="shared" si="48"/>
        <v>0</v>
      </c>
      <c r="AI114" s="447">
        <f t="shared" si="49"/>
        <v>0</v>
      </c>
      <c r="AJ114" s="491" t="str">
        <f>VLOOKUP(AI114,Treatments!$C$7:$J$407,2)</f>
        <v>No treatment</v>
      </c>
      <c r="AK114" s="495">
        <f t="shared" si="50"/>
        <v>0</v>
      </c>
      <c r="AL114" s="433">
        <f>VLOOKUP(AI114,Treatments!$C$7:$J$407,8)</f>
        <v>0</v>
      </c>
      <c r="AM114" s="495">
        <f t="shared" si="51"/>
        <v>0</v>
      </c>
      <c r="AN114" s="498"/>
      <c r="AO114" s="496">
        <f t="shared" si="52"/>
        <v>1</v>
      </c>
      <c r="AP114" s="433">
        <f t="shared" si="53"/>
        <v>0</v>
      </c>
      <c r="AQ114" s="411">
        <f t="shared" si="54"/>
        <v>0</v>
      </c>
      <c r="AR114" s="1"/>
    </row>
    <row r="115" spans="2:44" x14ac:dyDescent="0.2">
      <c r="B115" s="435"/>
      <c r="C115" s="491" t="str">
        <f>IF(B115&lt;=0,"",VLOOKUP(B115,Treatments!$C$7:$J$407,2))</f>
        <v/>
      </c>
      <c r="D115" s="492"/>
      <c r="E115" s="433">
        <f>VLOOKUP(B115,Treatments!$C$7:$J$407,8)</f>
        <v>0</v>
      </c>
      <c r="F115" s="435"/>
      <c r="G115" s="493"/>
      <c r="H115" s="433">
        <f t="shared" si="59"/>
        <v>0</v>
      </c>
      <c r="I115" s="411">
        <f t="shared" si="55"/>
        <v>0</v>
      </c>
      <c r="L115" s="435"/>
      <c r="M115" s="491" t="str">
        <f>VLOOKUP(L115,Treatments!$C$7:$J$407,2)</f>
        <v>No treatment</v>
      </c>
      <c r="N115" s="492"/>
      <c r="O115" s="433">
        <f>VLOOKUP(L115,Treatments!$C$7:$J$407,8)</f>
        <v>0</v>
      </c>
      <c r="P115" s="435"/>
      <c r="Q115" s="498"/>
      <c r="R115" s="493">
        <v>1</v>
      </c>
      <c r="S115" s="433">
        <f t="shared" si="46"/>
        <v>0</v>
      </c>
      <c r="T115" s="411">
        <f t="shared" si="47"/>
        <v>0</v>
      </c>
      <c r="U115" s="1"/>
      <c r="Y115" s="447">
        <f t="shared" si="56"/>
        <v>0</v>
      </c>
      <c r="Z115" s="491" t="str">
        <f>VLOOKUP(Y115,Treatments!$C$7:$J$407,2)</f>
        <v>No treatment</v>
      </c>
      <c r="AA115" s="495">
        <f t="shared" si="57"/>
        <v>0</v>
      </c>
      <c r="AB115" s="433">
        <f>VLOOKUP(Y115,Treatments!$C$7:$J$407,8)</f>
        <v>0</v>
      </c>
      <c r="AC115" s="495">
        <f t="shared" si="58"/>
        <v>0</v>
      </c>
      <c r="AD115" s="496">
        <f t="shared" si="58"/>
        <v>0</v>
      </c>
      <c r="AE115" s="433">
        <f t="shared" si="60"/>
        <v>0</v>
      </c>
      <c r="AF115" s="411">
        <f t="shared" si="48"/>
        <v>0</v>
      </c>
      <c r="AI115" s="447">
        <f t="shared" si="49"/>
        <v>0</v>
      </c>
      <c r="AJ115" s="491" t="str">
        <f>VLOOKUP(AI115,Treatments!$C$7:$J$407,2)</f>
        <v>No treatment</v>
      </c>
      <c r="AK115" s="495">
        <f t="shared" si="50"/>
        <v>0</v>
      </c>
      <c r="AL115" s="433">
        <f>VLOOKUP(AI115,Treatments!$C$7:$J$407,8)</f>
        <v>0</v>
      </c>
      <c r="AM115" s="495">
        <f t="shared" si="51"/>
        <v>0</v>
      </c>
      <c r="AN115" s="498"/>
      <c r="AO115" s="496">
        <f t="shared" si="52"/>
        <v>1</v>
      </c>
      <c r="AP115" s="433">
        <f t="shared" si="53"/>
        <v>0</v>
      </c>
      <c r="AQ115" s="411">
        <f t="shared" si="54"/>
        <v>0</v>
      </c>
      <c r="AR115" s="1"/>
    </row>
    <row r="116" spans="2:44" x14ac:dyDescent="0.2">
      <c r="B116" s="435"/>
      <c r="C116" s="491" t="str">
        <f>IF(B116&lt;=0,"",VLOOKUP(B116,Treatments!$C$7:$J$407,2))</f>
        <v/>
      </c>
      <c r="D116" s="492"/>
      <c r="E116" s="433">
        <f>VLOOKUP(B116,Treatments!$C$7:$J$407,8)</f>
        <v>0</v>
      </c>
      <c r="F116" s="435"/>
      <c r="G116" s="493"/>
      <c r="H116" s="433">
        <f t="shared" si="59"/>
        <v>0</v>
      </c>
      <c r="I116" s="411">
        <f t="shared" si="55"/>
        <v>0</v>
      </c>
      <c r="U116" s="1"/>
      <c r="Y116" s="447">
        <f t="shared" si="56"/>
        <v>0</v>
      </c>
      <c r="Z116" s="491" t="str">
        <f>VLOOKUP(Y116,Treatments!$C$7:$J$407,2)</f>
        <v>No treatment</v>
      </c>
      <c r="AA116" s="495">
        <f t="shared" si="57"/>
        <v>0</v>
      </c>
      <c r="AB116" s="433">
        <f>VLOOKUP(Y116,Treatments!$C$7:$J$407,8)</f>
        <v>0</v>
      </c>
      <c r="AC116" s="495">
        <f t="shared" si="58"/>
        <v>0</v>
      </c>
      <c r="AD116" s="496">
        <f t="shared" si="58"/>
        <v>0</v>
      </c>
      <c r="AE116" s="433">
        <f t="shared" si="60"/>
        <v>0</v>
      </c>
      <c r="AF116" s="411">
        <f t="shared" si="48"/>
        <v>0</v>
      </c>
      <c r="AR116" s="1"/>
    </row>
    <row r="117" spans="2:44" ht="15.75" x14ac:dyDescent="0.25">
      <c r="B117" s="435"/>
      <c r="C117" s="491" t="str">
        <f>IF(B117&lt;=0,"",VLOOKUP(B117,Treatments!$C$7:$J$407,2))</f>
        <v/>
      </c>
      <c r="D117" s="492"/>
      <c r="E117" s="433">
        <f>VLOOKUP(B117,Treatments!$C$7:$J$407,8)</f>
        <v>0</v>
      </c>
      <c r="F117" s="435"/>
      <c r="G117" s="493"/>
      <c r="H117" s="433">
        <f t="shared" si="59"/>
        <v>0</v>
      </c>
      <c r="I117" s="411">
        <f t="shared" si="55"/>
        <v>0</v>
      </c>
      <c r="L117" s="482" t="s">
        <v>994</v>
      </c>
      <c r="M117" s="483" t="s">
        <v>580</v>
      </c>
      <c r="N117" s="484" t="s">
        <v>616</v>
      </c>
      <c r="O117" s="482" t="s">
        <v>619</v>
      </c>
      <c r="P117" s="485" t="s">
        <v>617</v>
      </c>
      <c r="Q117" s="482"/>
      <c r="R117" s="485" t="s">
        <v>618</v>
      </c>
      <c r="S117" s="487"/>
      <c r="T117" s="487"/>
      <c r="U117" s="1"/>
      <c r="Y117" s="447">
        <f t="shared" si="56"/>
        <v>0</v>
      </c>
      <c r="Z117" s="491" t="str">
        <f>VLOOKUP(Y117,Treatments!$C$7:$J$407,2)</f>
        <v>No treatment</v>
      </c>
      <c r="AA117" s="495">
        <f t="shared" si="57"/>
        <v>0</v>
      </c>
      <c r="AB117" s="433">
        <f>VLOOKUP(Y117,Treatments!$C$7:$J$407,8)</f>
        <v>0</v>
      </c>
      <c r="AC117" s="495">
        <f t="shared" si="58"/>
        <v>0</v>
      </c>
      <c r="AD117" s="496">
        <f t="shared" si="58"/>
        <v>0</v>
      </c>
      <c r="AE117" s="433">
        <f t="shared" si="60"/>
        <v>0</v>
      </c>
      <c r="AF117" s="411">
        <f t="shared" si="48"/>
        <v>0</v>
      </c>
      <c r="AI117" s="499" t="s">
        <v>994</v>
      </c>
      <c r="AJ117" s="5" t="s">
        <v>580</v>
      </c>
      <c r="AK117" s="14" t="s">
        <v>616</v>
      </c>
      <c r="AL117" s="6" t="s">
        <v>619</v>
      </c>
      <c r="AM117" s="1" t="s">
        <v>617</v>
      </c>
      <c r="AN117" s="6"/>
      <c r="AO117" s="1" t="s">
        <v>618</v>
      </c>
      <c r="AP117" s="500"/>
      <c r="AQ117" s="62"/>
      <c r="AR117" s="1"/>
    </row>
    <row r="118" spans="2:44" ht="15.75" x14ac:dyDescent="0.25">
      <c r="B118" s="435"/>
      <c r="C118" s="491" t="str">
        <f>IF(B118&lt;=0,"",VLOOKUP(B118,Treatments!$C$7:$J$407,2))</f>
        <v/>
      </c>
      <c r="D118" s="492"/>
      <c r="E118" s="433">
        <f>VLOOKUP(B118,Treatments!$C$7:$J$407,8)</f>
        <v>0</v>
      </c>
      <c r="F118" s="435"/>
      <c r="G118" s="493"/>
      <c r="H118" s="433">
        <f t="shared" si="59"/>
        <v>0</v>
      </c>
      <c r="I118" s="411">
        <f t="shared" si="55"/>
        <v>0</v>
      </c>
      <c r="L118" s="305">
        <v>349</v>
      </c>
      <c r="M118" s="491" t="str">
        <f>VLOOKUP(L118,Treatments!$C$7:$J$407,2)</f>
        <v>Leucaena planter</v>
      </c>
      <c r="N118" s="306">
        <v>1</v>
      </c>
      <c r="O118" s="433">
        <f>VLOOKUP(L118,Treatments!$C$7:$J$407,8)</f>
        <v>9.6454545454545446</v>
      </c>
      <c r="P118" s="305">
        <v>1</v>
      </c>
      <c r="Q118" s="494"/>
      <c r="R118" s="308">
        <v>1</v>
      </c>
      <c r="S118" s="433">
        <f>N118*O118*P118*R118</f>
        <v>9.6454545454545446</v>
      </c>
      <c r="T118" s="411">
        <f>S118*$D$9</f>
        <v>964.5454545454545</v>
      </c>
      <c r="U118" s="1"/>
      <c r="Y118" s="447">
        <f t="shared" si="56"/>
        <v>0</v>
      </c>
      <c r="Z118" s="491" t="str">
        <f>VLOOKUP(Y118,Treatments!$C$7:$J$407,2)</f>
        <v>No treatment</v>
      </c>
      <c r="AA118" s="495">
        <f t="shared" si="57"/>
        <v>0</v>
      </c>
      <c r="AB118" s="433">
        <f>VLOOKUP(Y118,Treatments!$C$7:$J$407,8)</f>
        <v>0</v>
      </c>
      <c r="AC118" s="495">
        <f t="shared" si="58"/>
        <v>0</v>
      </c>
      <c r="AD118" s="496">
        <f t="shared" si="58"/>
        <v>0</v>
      </c>
      <c r="AE118" s="433">
        <f t="shared" si="60"/>
        <v>0</v>
      </c>
      <c r="AF118" s="411">
        <f t="shared" si="48"/>
        <v>0</v>
      </c>
      <c r="AI118" s="447">
        <f t="shared" ref="AI118:AI129" si="61">IF(AND(L118&gt;=344,L118&lt;=358),L118+15,L118)</f>
        <v>364</v>
      </c>
      <c r="AJ118" s="491" t="str">
        <f>VLOOKUP(AI118,Treatments!$C$7:$J$407,2)</f>
        <v>Leucaena planter</v>
      </c>
      <c r="AK118" s="495">
        <f t="shared" ref="AK118:AK129" si="62">N118</f>
        <v>1</v>
      </c>
      <c r="AL118" s="433">
        <f>VLOOKUP(AI118,Treatments!$C$7:$J$407,8)</f>
        <v>20.176363636363636</v>
      </c>
      <c r="AM118" s="495">
        <f t="shared" ref="AM118:AM129" si="63">P118</f>
        <v>1</v>
      </c>
      <c r="AN118" s="494"/>
      <c r="AO118" s="496">
        <f t="shared" ref="AO118:AO129" si="64">R118</f>
        <v>1</v>
      </c>
      <c r="AP118" s="433">
        <f>AK118*AL118*AM118*AO118</f>
        <v>20.176363636363636</v>
      </c>
      <c r="AQ118" s="411">
        <f t="shared" ref="AQ118:AQ129" si="65">AP118*$D$9</f>
        <v>2017.6363636363635</v>
      </c>
      <c r="AR118" s="1"/>
    </row>
    <row r="119" spans="2:44" ht="15.75" x14ac:dyDescent="0.25">
      <c r="B119" s="435"/>
      <c r="C119" s="491" t="str">
        <f>IF(B119&lt;=0,"",VLOOKUP(B119,Treatments!$C$7:$J$407,2))</f>
        <v/>
      </c>
      <c r="D119" s="492"/>
      <c r="E119" s="433">
        <f>VLOOKUP(B119,Treatments!$C$7:$J$407,8)</f>
        <v>0</v>
      </c>
      <c r="F119" s="435"/>
      <c r="G119" s="493"/>
      <c r="H119" s="433">
        <f t="shared" si="59"/>
        <v>0</v>
      </c>
      <c r="I119" s="411">
        <f t="shared" si="55"/>
        <v>0</v>
      </c>
      <c r="L119" s="305">
        <v>308</v>
      </c>
      <c r="M119" s="491" t="str">
        <f>VLOOKUP(L119,Treatments!$C$7:$J$407,2)</f>
        <v>Leucaena seed</v>
      </c>
      <c r="N119" s="306">
        <v>2.5</v>
      </c>
      <c r="O119" s="433">
        <f>VLOOKUP(L119,Treatments!$C$7:$J$407,8)</f>
        <v>20</v>
      </c>
      <c r="P119" s="305">
        <v>1</v>
      </c>
      <c r="Q119" s="160"/>
      <c r="R119" s="308">
        <v>1</v>
      </c>
      <c r="S119" s="433">
        <f t="shared" ref="S119:S129" si="66">N119*O119*P119*R119</f>
        <v>50</v>
      </c>
      <c r="T119" s="411">
        <f t="shared" ref="T119:T129" si="67">S119*$D$9</f>
        <v>5000</v>
      </c>
      <c r="U119" s="1"/>
      <c r="Y119" s="447">
        <f t="shared" si="56"/>
        <v>0</v>
      </c>
      <c r="Z119" s="491" t="str">
        <f>VLOOKUP(Y119,Treatments!$C$7:$J$407,2)</f>
        <v>No treatment</v>
      </c>
      <c r="AA119" s="495">
        <f t="shared" si="57"/>
        <v>0</v>
      </c>
      <c r="AB119" s="433">
        <f>VLOOKUP(Y119,Treatments!$C$7:$J$407,8)</f>
        <v>0</v>
      </c>
      <c r="AC119" s="495">
        <f t="shared" si="58"/>
        <v>0</v>
      </c>
      <c r="AD119" s="496">
        <f t="shared" si="58"/>
        <v>0</v>
      </c>
      <c r="AE119" s="433">
        <f t="shared" si="60"/>
        <v>0</v>
      </c>
      <c r="AF119" s="411">
        <f t="shared" si="48"/>
        <v>0</v>
      </c>
      <c r="AI119" s="447">
        <f t="shared" si="61"/>
        <v>308</v>
      </c>
      <c r="AJ119" s="491" t="str">
        <f>VLOOKUP(AI119,Treatments!$C$7:$J$407,2)</f>
        <v>Leucaena seed</v>
      </c>
      <c r="AK119" s="495">
        <f t="shared" si="62"/>
        <v>2.5</v>
      </c>
      <c r="AL119" s="433">
        <f>VLOOKUP(AI119,Treatments!$C$7:$J$407,8)</f>
        <v>20</v>
      </c>
      <c r="AM119" s="495">
        <f t="shared" si="63"/>
        <v>1</v>
      </c>
      <c r="AN119" s="160"/>
      <c r="AO119" s="496">
        <f t="shared" si="64"/>
        <v>1</v>
      </c>
      <c r="AP119" s="433">
        <f t="shared" ref="AP119:AP129" si="68">AK119*AL119*AM119*AO119</f>
        <v>50</v>
      </c>
      <c r="AQ119" s="411">
        <f t="shared" si="65"/>
        <v>5000</v>
      </c>
      <c r="AR119" s="1"/>
    </row>
    <row r="120" spans="2:44" ht="15.75" x14ac:dyDescent="0.25">
      <c r="B120" s="435"/>
      <c r="C120" s="491" t="str">
        <f>IF(B120&lt;=0,"",VLOOKUP(B120,Treatments!$C$7:$J$407,2))</f>
        <v/>
      </c>
      <c r="D120" s="492"/>
      <c r="E120" s="433">
        <f>VLOOKUP(B120,Treatments!$C$7:$J$407,8)</f>
        <v>0</v>
      </c>
      <c r="F120" s="435"/>
      <c r="G120" s="493"/>
      <c r="H120" s="433">
        <f t="shared" si="59"/>
        <v>0</v>
      </c>
      <c r="I120" s="411">
        <f t="shared" si="55"/>
        <v>0</v>
      </c>
      <c r="L120" s="305">
        <v>309</v>
      </c>
      <c r="M120" s="491" t="str">
        <f>VLOOKUP(L120,Treatments!$C$7:$J$407,2)</f>
        <v>Leucaena inoculant</v>
      </c>
      <c r="N120" s="306">
        <v>1</v>
      </c>
      <c r="O120" s="433">
        <f>VLOOKUP(L120,Treatments!$C$7:$J$407,8)</f>
        <v>0.24</v>
      </c>
      <c r="P120" s="305">
        <v>1</v>
      </c>
      <c r="Q120" s="160"/>
      <c r="R120" s="308">
        <v>1</v>
      </c>
      <c r="S120" s="433">
        <f t="shared" si="66"/>
        <v>0.24</v>
      </c>
      <c r="T120" s="411">
        <f t="shared" si="67"/>
        <v>24</v>
      </c>
      <c r="U120" s="1"/>
      <c r="Y120" s="447">
        <f t="shared" si="56"/>
        <v>0</v>
      </c>
      <c r="Z120" s="491" t="str">
        <f>VLOOKUP(Y120,Treatments!$C$7:$J$407,2)</f>
        <v>No treatment</v>
      </c>
      <c r="AA120" s="495">
        <f t="shared" si="57"/>
        <v>0</v>
      </c>
      <c r="AB120" s="433">
        <f>VLOOKUP(Y120,Treatments!$C$7:$J$407,8)</f>
        <v>0</v>
      </c>
      <c r="AC120" s="495">
        <f t="shared" si="58"/>
        <v>0</v>
      </c>
      <c r="AD120" s="496">
        <f t="shared" si="58"/>
        <v>0</v>
      </c>
      <c r="AE120" s="433">
        <f t="shared" si="60"/>
        <v>0</v>
      </c>
      <c r="AF120" s="411">
        <f t="shared" si="48"/>
        <v>0</v>
      </c>
      <c r="AI120" s="447">
        <f t="shared" si="61"/>
        <v>309</v>
      </c>
      <c r="AJ120" s="491" t="str">
        <f>VLOOKUP(AI120,Treatments!$C$7:$J$407,2)</f>
        <v>Leucaena inoculant</v>
      </c>
      <c r="AK120" s="495">
        <f t="shared" si="62"/>
        <v>1</v>
      </c>
      <c r="AL120" s="433">
        <f>VLOOKUP(AI120,Treatments!$C$7:$J$407,8)</f>
        <v>0.24</v>
      </c>
      <c r="AM120" s="495">
        <f t="shared" si="63"/>
        <v>1</v>
      </c>
      <c r="AN120" s="160"/>
      <c r="AO120" s="496">
        <f t="shared" si="64"/>
        <v>1</v>
      </c>
      <c r="AP120" s="433">
        <f t="shared" si="68"/>
        <v>0.24</v>
      </c>
      <c r="AQ120" s="411">
        <f t="shared" si="65"/>
        <v>24</v>
      </c>
      <c r="AR120" s="1"/>
    </row>
    <row r="121" spans="2:44" ht="15.75" x14ac:dyDescent="0.25">
      <c r="B121" s="435"/>
      <c r="C121" s="491" t="str">
        <f>IF(B121&lt;=0,"",VLOOKUP(B121,Treatments!$C$7:$J$407,2))</f>
        <v/>
      </c>
      <c r="D121" s="492"/>
      <c r="E121" s="433">
        <f>VLOOKUP(B121,Treatments!$C$7:$J$407,8)</f>
        <v>0</v>
      </c>
      <c r="F121" s="435"/>
      <c r="G121" s="493"/>
      <c r="H121" s="433">
        <f t="shared" si="59"/>
        <v>0</v>
      </c>
      <c r="I121" s="411">
        <f t="shared" si="55"/>
        <v>0</v>
      </c>
      <c r="L121" s="305">
        <v>77</v>
      </c>
      <c r="M121" s="491" t="str">
        <f>VLOOKUP(L121,Treatments!$C$7:$J$407,2)</f>
        <v>MAP (Starterphos)</v>
      </c>
      <c r="N121" s="306">
        <v>60</v>
      </c>
      <c r="O121" s="433">
        <f>VLOOKUP(L121,Treatments!$C$7:$J$407,8)</f>
        <v>0.88</v>
      </c>
      <c r="P121" s="305">
        <v>1</v>
      </c>
      <c r="Q121" s="160"/>
      <c r="R121" s="308">
        <v>1</v>
      </c>
      <c r="S121" s="433">
        <f t="shared" si="66"/>
        <v>52.8</v>
      </c>
      <c r="T121" s="411">
        <f t="shared" si="67"/>
        <v>5280</v>
      </c>
      <c r="U121" s="1"/>
      <c r="Y121" s="447">
        <f t="shared" si="56"/>
        <v>0</v>
      </c>
      <c r="Z121" s="491" t="str">
        <f>VLOOKUP(Y121,Treatments!$C$7:$J$407,2)</f>
        <v>No treatment</v>
      </c>
      <c r="AA121" s="495">
        <f t="shared" si="57"/>
        <v>0</v>
      </c>
      <c r="AB121" s="433">
        <f>VLOOKUP(Y121,Treatments!$C$7:$J$407,8)</f>
        <v>0</v>
      </c>
      <c r="AC121" s="495">
        <f t="shared" si="58"/>
        <v>0</v>
      </c>
      <c r="AD121" s="496">
        <f t="shared" si="58"/>
        <v>0</v>
      </c>
      <c r="AE121" s="433">
        <f t="shared" si="60"/>
        <v>0</v>
      </c>
      <c r="AF121" s="411">
        <f t="shared" si="48"/>
        <v>0</v>
      </c>
      <c r="AI121" s="447">
        <f t="shared" si="61"/>
        <v>77</v>
      </c>
      <c r="AJ121" s="491" t="str">
        <f>VLOOKUP(AI121,Treatments!$C$7:$J$407,2)</f>
        <v>MAP (Starterphos)</v>
      </c>
      <c r="AK121" s="495">
        <f t="shared" si="62"/>
        <v>60</v>
      </c>
      <c r="AL121" s="433">
        <f>VLOOKUP(AI121,Treatments!$C$7:$J$407,8)</f>
        <v>0.88</v>
      </c>
      <c r="AM121" s="495">
        <f t="shared" si="63"/>
        <v>1</v>
      </c>
      <c r="AN121" s="160"/>
      <c r="AO121" s="496">
        <f t="shared" si="64"/>
        <v>1</v>
      </c>
      <c r="AP121" s="433">
        <f t="shared" si="68"/>
        <v>52.8</v>
      </c>
      <c r="AQ121" s="411">
        <f t="shared" si="65"/>
        <v>5280</v>
      </c>
      <c r="AR121" s="1"/>
    </row>
    <row r="122" spans="2:44" ht="15.75" x14ac:dyDescent="0.25">
      <c r="B122" s="435"/>
      <c r="C122" s="491" t="str">
        <f>IF(B122&lt;=0,"",VLOOKUP(B122,Treatments!$C$7:$J$407,2))</f>
        <v/>
      </c>
      <c r="D122" s="492"/>
      <c r="E122" s="433">
        <f>VLOOKUP(B122,Treatments!$C$7:$J$407,8)</f>
        <v>0</v>
      </c>
      <c r="F122" s="435"/>
      <c r="G122" s="493"/>
      <c r="H122" s="433">
        <f t="shared" si="59"/>
        <v>0</v>
      </c>
      <c r="I122" s="411">
        <f t="shared" si="55"/>
        <v>0</v>
      </c>
      <c r="L122" s="305"/>
      <c r="M122" s="491" t="str">
        <f>VLOOKUP(L122,Treatments!$C$7:$J$407,2)</f>
        <v>No treatment</v>
      </c>
      <c r="N122" s="306"/>
      <c r="O122" s="433">
        <f>VLOOKUP(L122,Treatments!$C$7:$J$407,8)</f>
        <v>0</v>
      </c>
      <c r="P122" s="305"/>
      <c r="Q122" s="160"/>
      <c r="R122" s="308"/>
      <c r="S122" s="433">
        <f t="shared" si="66"/>
        <v>0</v>
      </c>
      <c r="T122" s="411">
        <f t="shared" si="67"/>
        <v>0</v>
      </c>
      <c r="U122" s="1"/>
      <c r="Y122" s="447">
        <f t="shared" si="56"/>
        <v>0</v>
      </c>
      <c r="Z122" s="491" t="str">
        <f>VLOOKUP(Y122,Treatments!$C$7:$J$407,2)</f>
        <v>No treatment</v>
      </c>
      <c r="AA122" s="495">
        <f t="shared" si="57"/>
        <v>0</v>
      </c>
      <c r="AB122" s="433">
        <f>VLOOKUP(Y122,Treatments!$C$7:$J$407,8)</f>
        <v>0</v>
      </c>
      <c r="AC122" s="495">
        <f t="shared" si="58"/>
        <v>0</v>
      </c>
      <c r="AD122" s="496">
        <f t="shared" si="58"/>
        <v>0</v>
      </c>
      <c r="AE122" s="433">
        <f t="shared" si="60"/>
        <v>0</v>
      </c>
      <c r="AF122" s="411">
        <f t="shared" si="48"/>
        <v>0</v>
      </c>
      <c r="AI122" s="447">
        <f t="shared" si="61"/>
        <v>0</v>
      </c>
      <c r="AJ122" s="491" t="str">
        <f>VLOOKUP(AI122,Treatments!$C$7:$J$407,2)</f>
        <v>No treatment</v>
      </c>
      <c r="AK122" s="495">
        <f t="shared" si="62"/>
        <v>0</v>
      </c>
      <c r="AL122" s="433">
        <f>VLOOKUP(AI122,Treatments!$C$7:$J$407,8)</f>
        <v>0</v>
      </c>
      <c r="AM122" s="495">
        <f t="shared" si="63"/>
        <v>0</v>
      </c>
      <c r="AN122" s="160"/>
      <c r="AO122" s="496">
        <f t="shared" si="64"/>
        <v>0</v>
      </c>
      <c r="AP122" s="433">
        <f t="shared" si="68"/>
        <v>0</v>
      </c>
      <c r="AQ122" s="411">
        <f t="shared" si="65"/>
        <v>0</v>
      </c>
      <c r="AR122" s="1"/>
    </row>
    <row r="123" spans="2:44" ht="15.75" x14ac:dyDescent="0.25">
      <c r="B123" s="435"/>
      <c r="C123" s="491" t="str">
        <f>IF(B123&lt;=0,"",VLOOKUP(B123,Treatments!$C$7:$J$407,2))</f>
        <v/>
      </c>
      <c r="D123" s="492"/>
      <c r="E123" s="433">
        <f>VLOOKUP(B123,Treatments!$C$7:$J$407,8)</f>
        <v>0</v>
      </c>
      <c r="F123" s="435"/>
      <c r="G123" s="493"/>
      <c r="H123" s="433">
        <f>D123*E123*F123*G123</f>
        <v>0</v>
      </c>
      <c r="I123" s="411">
        <f t="shared" si="55"/>
        <v>0</v>
      </c>
      <c r="L123" s="305">
        <v>242</v>
      </c>
      <c r="M123" s="491" t="str">
        <f>VLOOKUP(L123,Treatments!$C$7:$J$407,2)</f>
        <v>Beetle bait</v>
      </c>
      <c r="N123" s="306">
        <v>1</v>
      </c>
      <c r="O123" s="433">
        <f>VLOOKUP(L123,Treatments!$C$7:$J$407,8)</f>
        <v>7</v>
      </c>
      <c r="P123" s="305">
        <v>1</v>
      </c>
      <c r="Q123" s="160"/>
      <c r="R123" s="308">
        <v>1</v>
      </c>
      <c r="S123" s="433">
        <f t="shared" si="66"/>
        <v>7</v>
      </c>
      <c r="T123" s="411">
        <f t="shared" si="67"/>
        <v>700</v>
      </c>
      <c r="U123" s="1"/>
      <c r="Y123" s="447">
        <f t="shared" si="56"/>
        <v>0</v>
      </c>
      <c r="Z123" s="491" t="str">
        <f>VLOOKUP(Y123,Treatments!$C$7:$J$407,2)</f>
        <v>No treatment</v>
      </c>
      <c r="AA123" s="495">
        <f t="shared" si="57"/>
        <v>0</v>
      </c>
      <c r="AB123" s="433">
        <f>VLOOKUP(Y123,Treatments!$C$7:$J$407,8)</f>
        <v>0</v>
      </c>
      <c r="AC123" s="495">
        <f t="shared" si="58"/>
        <v>0</v>
      </c>
      <c r="AD123" s="496">
        <f t="shared" si="58"/>
        <v>0</v>
      </c>
      <c r="AE123" s="433">
        <f>AA123*AB123*AC123*AD123</f>
        <v>0</v>
      </c>
      <c r="AF123" s="411">
        <f t="shared" si="48"/>
        <v>0</v>
      </c>
      <c r="AI123" s="447">
        <f t="shared" si="61"/>
        <v>242</v>
      </c>
      <c r="AJ123" s="491" t="str">
        <f>VLOOKUP(AI123,Treatments!$C$7:$J$407,2)</f>
        <v>Beetle bait</v>
      </c>
      <c r="AK123" s="495">
        <f t="shared" si="62"/>
        <v>1</v>
      </c>
      <c r="AL123" s="433">
        <f>VLOOKUP(AI123,Treatments!$C$7:$J$407,8)</f>
        <v>7</v>
      </c>
      <c r="AM123" s="495">
        <f t="shared" si="63"/>
        <v>1</v>
      </c>
      <c r="AN123" s="160"/>
      <c r="AO123" s="496">
        <f t="shared" si="64"/>
        <v>1</v>
      </c>
      <c r="AP123" s="433">
        <f t="shared" si="68"/>
        <v>7</v>
      </c>
      <c r="AQ123" s="411">
        <f t="shared" si="65"/>
        <v>700</v>
      </c>
      <c r="AR123" s="1"/>
    </row>
    <row r="124" spans="2:44" ht="15.75" x14ac:dyDescent="0.25">
      <c r="B124" s="435"/>
      <c r="C124" s="491" t="str">
        <f>IF(B124&lt;=0,"",VLOOKUP(B124,Treatments!$C$7:$J$407,2))</f>
        <v/>
      </c>
      <c r="D124" s="492"/>
      <c r="E124" s="433">
        <f>VLOOKUP(B124,Treatments!$C$7:$J$407,8)</f>
        <v>0</v>
      </c>
      <c r="F124" s="435"/>
      <c r="G124" s="493"/>
      <c r="H124" s="433">
        <f>D124*E124*F124*G124</f>
        <v>0</v>
      </c>
      <c r="I124" s="411">
        <f t="shared" si="55"/>
        <v>0</v>
      </c>
      <c r="L124" s="305"/>
      <c r="M124" s="491" t="str">
        <f>VLOOKUP(L124,Treatments!$C$7:$J$407,2)</f>
        <v>No treatment</v>
      </c>
      <c r="N124" s="306"/>
      <c r="O124" s="433">
        <f>VLOOKUP(L124,Treatments!$C$7:$J$407,8)</f>
        <v>0</v>
      </c>
      <c r="P124" s="305"/>
      <c r="Q124" s="160"/>
      <c r="R124" s="308"/>
      <c r="S124" s="433">
        <f t="shared" si="66"/>
        <v>0</v>
      </c>
      <c r="T124" s="411">
        <f t="shared" si="67"/>
        <v>0</v>
      </c>
      <c r="U124" s="1"/>
      <c r="Y124" s="447">
        <f t="shared" si="56"/>
        <v>0</v>
      </c>
      <c r="Z124" s="491" t="str">
        <f>VLOOKUP(Y124,Treatments!$C$7:$J$407,2)</f>
        <v>No treatment</v>
      </c>
      <c r="AA124" s="495">
        <f t="shared" si="57"/>
        <v>0</v>
      </c>
      <c r="AB124" s="433">
        <f>VLOOKUP(Y124,Treatments!$C$7:$J$407,8)</f>
        <v>0</v>
      </c>
      <c r="AC124" s="495">
        <f t="shared" si="58"/>
        <v>0</v>
      </c>
      <c r="AD124" s="496">
        <f t="shared" si="58"/>
        <v>0</v>
      </c>
      <c r="AE124" s="433">
        <f>AA124*AB124*AC124*AD124</f>
        <v>0</v>
      </c>
      <c r="AF124" s="411">
        <f t="shared" si="48"/>
        <v>0</v>
      </c>
      <c r="AI124" s="447">
        <f t="shared" si="61"/>
        <v>0</v>
      </c>
      <c r="AJ124" s="491" t="str">
        <f>VLOOKUP(AI124,Treatments!$C$7:$J$407,2)</f>
        <v>No treatment</v>
      </c>
      <c r="AK124" s="495">
        <f t="shared" si="62"/>
        <v>0</v>
      </c>
      <c r="AL124" s="433">
        <f>VLOOKUP(AI124,Treatments!$C$7:$J$407,8)</f>
        <v>0</v>
      </c>
      <c r="AM124" s="495">
        <f t="shared" si="63"/>
        <v>0</v>
      </c>
      <c r="AN124" s="160"/>
      <c r="AO124" s="496">
        <f t="shared" si="64"/>
        <v>0</v>
      </c>
      <c r="AP124" s="433">
        <f t="shared" si="68"/>
        <v>0</v>
      </c>
      <c r="AQ124" s="411">
        <f t="shared" si="65"/>
        <v>0</v>
      </c>
      <c r="AR124" s="1"/>
    </row>
    <row r="125" spans="2:44" ht="15.75" x14ac:dyDescent="0.25">
      <c r="B125" s="1"/>
      <c r="C125" s="1"/>
      <c r="D125" s="1"/>
      <c r="E125" s="1"/>
      <c r="F125" s="1"/>
      <c r="G125" s="6"/>
      <c r="H125" s="1"/>
      <c r="I125" s="1"/>
      <c r="L125" s="305">
        <v>344</v>
      </c>
      <c r="M125" s="491" t="str">
        <f>VLOOKUP(L125,Treatments!$C$7:$J$407,2)</f>
        <v>Linkage spray rig</v>
      </c>
      <c r="N125" s="306">
        <v>1</v>
      </c>
      <c r="O125" s="433">
        <f>VLOOKUP(L125,Treatments!$C$7:$J$407,8)</f>
        <v>3.3779411764705882</v>
      </c>
      <c r="P125" s="305">
        <v>1</v>
      </c>
      <c r="Q125" s="160"/>
      <c r="R125" s="308">
        <v>1</v>
      </c>
      <c r="S125" s="433">
        <f t="shared" si="66"/>
        <v>3.3779411764705882</v>
      </c>
      <c r="T125" s="411">
        <f t="shared" si="67"/>
        <v>337.79411764705884</v>
      </c>
      <c r="U125" s="1"/>
      <c r="Y125" s="1"/>
      <c r="Z125" s="1"/>
      <c r="AA125" s="6"/>
      <c r="AB125" s="6"/>
      <c r="AC125" s="6"/>
      <c r="AD125" s="6"/>
      <c r="AE125" s="6"/>
      <c r="AF125" s="6"/>
      <c r="AI125" s="447">
        <f t="shared" si="61"/>
        <v>359</v>
      </c>
      <c r="AJ125" s="491" t="str">
        <f>VLOOKUP(AI125,Treatments!$C$7:$J$407,2)</f>
        <v>Linkage spray rig</v>
      </c>
      <c r="AK125" s="495">
        <f t="shared" si="62"/>
        <v>1</v>
      </c>
      <c r="AL125" s="433">
        <f>VLOOKUP(AI125,Treatments!$C$7:$J$407,8)</f>
        <v>8.01</v>
      </c>
      <c r="AM125" s="495">
        <f t="shared" si="63"/>
        <v>1</v>
      </c>
      <c r="AN125" s="160"/>
      <c r="AO125" s="496">
        <f t="shared" si="64"/>
        <v>1</v>
      </c>
      <c r="AP125" s="433">
        <f t="shared" si="68"/>
        <v>8.01</v>
      </c>
      <c r="AQ125" s="411">
        <f t="shared" si="65"/>
        <v>801</v>
      </c>
      <c r="AR125" s="1"/>
    </row>
    <row r="126" spans="2:44" ht="15.75" x14ac:dyDescent="0.25">
      <c r="B126" s="501" t="s">
        <v>994</v>
      </c>
      <c r="C126" s="502" t="s">
        <v>580</v>
      </c>
      <c r="D126" s="503" t="s">
        <v>616</v>
      </c>
      <c r="E126" s="501" t="s">
        <v>619</v>
      </c>
      <c r="F126" s="504" t="s">
        <v>617</v>
      </c>
      <c r="G126" s="504" t="s">
        <v>618</v>
      </c>
      <c r="H126" s="505"/>
      <c r="I126" s="506"/>
      <c r="L126" s="305">
        <v>171</v>
      </c>
      <c r="M126" s="491" t="str">
        <f>VLOOKUP(L126,Treatments!$C$7:$J$407,2)</f>
        <v xml:space="preserve">Spinnaker </v>
      </c>
      <c r="N126" s="306">
        <v>0.14000000000000001</v>
      </c>
      <c r="O126" s="433">
        <f>VLOOKUP(L126,Treatments!$C$7:$J$407,8)</f>
        <v>255</v>
      </c>
      <c r="P126" s="305">
        <v>1</v>
      </c>
      <c r="Q126" s="160"/>
      <c r="R126" s="308">
        <v>0.5</v>
      </c>
      <c r="S126" s="433">
        <f t="shared" si="66"/>
        <v>17.850000000000001</v>
      </c>
      <c r="T126" s="411">
        <f t="shared" si="67"/>
        <v>1785.0000000000002</v>
      </c>
      <c r="U126" s="1"/>
      <c r="Y126" s="6" t="s">
        <v>994</v>
      </c>
      <c r="Z126" s="5" t="s">
        <v>580</v>
      </c>
      <c r="AA126" s="6" t="s">
        <v>616</v>
      </c>
      <c r="AB126" s="6" t="s">
        <v>619</v>
      </c>
      <c r="AC126" s="6" t="s">
        <v>617</v>
      </c>
      <c r="AD126" s="6" t="s">
        <v>618</v>
      </c>
      <c r="AE126" s="507"/>
      <c r="AF126" s="508"/>
      <c r="AI126" s="447">
        <f t="shared" si="61"/>
        <v>171</v>
      </c>
      <c r="AJ126" s="491" t="str">
        <f>VLOOKUP(AI126,Treatments!$C$7:$J$407,2)</f>
        <v xml:space="preserve">Spinnaker </v>
      </c>
      <c r="AK126" s="495">
        <f t="shared" si="62"/>
        <v>0.14000000000000001</v>
      </c>
      <c r="AL126" s="433">
        <f>VLOOKUP(AI126,Treatments!$C$7:$J$407,8)</f>
        <v>255</v>
      </c>
      <c r="AM126" s="495">
        <f t="shared" si="63"/>
        <v>1</v>
      </c>
      <c r="AN126" s="160"/>
      <c r="AO126" s="496">
        <f t="shared" si="64"/>
        <v>0.5</v>
      </c>
      <c r="AP126" s="433">
        <f t="shared" si="68"/>
        <v>17.850000000000001</v>
      </c>
      <c r="AQ126" s="411">
        <f t="shared" si="65"/>
        <v>1785.0000000000002</v>
      </c>
      <c r="AR126" s="1"/>
    </row>
    <row r="127" spans="2:44" ht="15.75" x14ac:dyDescent="0.25">
      <c r="B127" s="435"/>
      <c r="C127" s="491" t="str">
        <f>IF(B127&lt;=0,"",VLOOKUP(B127,Treatments!$C$7:$J$407,2))</f>
        <v/>
      </c>
      <c r="D127" s="492"/>
      <c r="E127" s="433">
        <f>VLOOKUP(B127,Treatments!$C$7:$J$407,8)</f>
        <v>0</v>
      </c>
      <c r="F127" s="435"/>
      <c r="G127" s="493"/>
      <c r="H127" s="433">
        <f t="shared" ref="H127:H138" si="69">D127*E127*F127*G127</f>
        <v>0</v>
      </c>
      <c r="I127" s="411">
        <f>H127*$D$9</f>
        <v>0</v>
      </c>
      <c r="L127" s="305">
        <v>162</v>
      </c>
      <c r="M127" s="491" t="str">
        <f>VLOOKUP(L127,Treatments!$C$7:$J$407,2)</f>
        <v>Roundup CT</v>
      </c>
      <c r="N127" s="306">
        <v>1.5</v>
      </c>
      <c r="O127" s="433">
        <f>VLOOKUP(L127,Treatments!$C$7:$J$407,8)</f>
        <v>4.5</v>
      </c>
      <c r="P127" s="305">
        <v>1</v>
      </c>
      <c r="Q127" s="160"/>
      <c r="R127" s="308">
        <v>0.5</v>
      </c>
      <c r="S127" s="433">
        <f t="shared" si="66"/>
        <v>3.375</v>
      </c>
      <c r="T127" s="411">
        <f t="shared" si="67"/>
        <v>337.5</v>
      </c>
      <c r="U127" s="1"/>
      <c r="Y127" s="447">
        <f>IF(AND(B127&gt;=344,B127&lt;=358),B127+15,B127)</f>
        <v>0</v>
      </c>
      <c r="Z127" s="491" t="str">
        <f>VLOOKUP(Y127,Treatments!$C$7:$J$407,2)</f>
        <v>No treatment</v>
      </c>
      <c r="AA127" s="495">
        <f t="shared" ref="AA127:AA138" si="70">D127</f>
        <v>0</v>
      </c>
      <c r="AB127" s="433">
        <f>VLOOKUP(Y127,Treatments!$C$7:$J$407,8)</f>
        <v>0</v>
      </c>
      <c r="AC127" s="495">
        <f t="shared" ref="AC127:AD138" si="71">F127</f>
        <v>0</v>
      </c>
      <c r="AD127" s="496">
        <f t="shared" si="71"/>
        <v>0</v>
      </c>
      <c r="AE127" s="433">
        <f t="shared" ref="AE127:AE138" si="72">AA127*AB127*AC127*AD127</f>
        <v>0</v>
      </c>
      <c r="AF127" s="411">
        <f t="shared" ref="AF127:AF138" si="73">AE127*$D$9</f>
        <v>0</v>
      </c>
      <c r="AI127" s="447">
        <f t="shared" si="61"/>
        <v>162</v>
      </c>
      <c r="AJ127" s="491" t="str">
        <f>VLOOKUP(AI127,Treatments!$C$7:$J$407,2)</f>
        <v>Roundup CT</v>
      </c>
      <c r="AK127" s="495">
        <f t="shared" si="62"/>
        <v>1.5</v>
      </c>
      <c r="AL127" s="433">
        <f>VLOOKUP(AI127,Treatments!$C$7:$J$407,8)</f>
        <v>4.5</v>
      </c>
      <c r="AM127" s="495">
        <f t="shared" si="63"/>
        <v>1</v>
      </c>
      <c r="AN127" s="160"/>
      <c r="AO127" s="496">
        <f t="shared" si="64"/>
        <v>0.5</v>
      </c>
      <c r="AP127" s="433">
        <f t="shared" si="68"/>
        <v>3.375</v>
      </c>
      <c r="AQ127" s="411">
        <f t="shared" si="65"/>
        <v>337.5</v>
      </c>
      <c r="AR127" s="1"/>
    </row>
    <row r="128" spans="2:44" x14ac:dyDescent="0.2">
      <c r="B128" s="435"/>
      <c r="C128" s="491" t="str">
        <f>IF(B128&lt;=0,"",VLOOKUP(B128,Treatments!$C$7:$J$407,2))</f>
        <v/>
      </c>
      <c r="D128" s="492"/>
      <c r="E128" s="433">
        <f>VLOOKUP(B128,Treatments!$C$7:$J$407,8)</f>
        <v>0</v>
      </c>
      <c r="F128" s="435"/>
      <c r="G128" s="493"/>
      <c r="H128" s="433">
        <f t="shared" si="69"/>
        <v>0</v>
      </c>
      <c r="I128" s="411">
        <f t="shared" ref="I128:I138" si="74">H128*$D$9</f>
        <v>0</v>
      </c>
      <c r="L128" s="435"/>
      <c r="M128" s="491" t="str">
        <f>VLOOKUP(L128,Treatments!$C$7:$J$407,2)</f>
        <v>No treatment</v>
      </c>
      <c r="N128" s="492"/>
      <c r="O128" s="433">
        <f>VLOOKUP(L128,Treatments!$C$7:$J$407,8)</f>
        <v>0</v>
      </c>
      <c r="P128" s="435"/>
      <c r="Q128" s="160"/>
      <c r="R128" s="493"/>
      <c r="S128" s="433">
        <f t="shared" si="66"/>
        <v>0</v>
      </c>
      <c r="T128" s="411">
        <f t="shared" si="67"/>
        <v>0</v>
      </c>
      <c r="U128" s="1"/>
      <c r="Y128" s="447">
        <f t="shared" ref="Y128:Y138" si="75">IF(AND(B128&gt;=344,B128&lt;=358),B128+15,B128)</f>
        <v>0</v>
      </c>
      <c r="Z128" s="491" t="str">
        <f>VLOOKUP(Y128,Treatments!$C$7:$J$407,2)</f>
        <v>No treatment</v>
      </c>
      <c r="AA128" s="495">
        <f t="shared" si="70"/>
        <v>0</v>
      </c>
      <c r="AB128" s="433">
        <f>VLOOKUP(Y128,Treatments!$C$7:$J$407,8)</f>
        <v>0</v>
      </c>
      <c r="AC128" s="495">
        <f t="shared" si="71"/>
        <v>0</v>
      </c>
      <c r="AD128" s="496">
        <f t="shared" si="71"/>
        <v>0</v>
      </c>
      <c r="AE128" s="433">
        <f t="shared" si="72"/>
        <v>0</v>
      </c>
      <c r="AF128" s="411">
        <f t="shared" si="73"/>
        <v>0</v>
      </c>
      <c r="AI128" s="447">
        <f t="shared" si="61"/>
        <v>0</v>
      </c>
      <c r="AJ128" s="491" t="str">
        <f>VLOOKUP(AI128,Treatments!$C$7:$J$407,2)</f>
        <v>No treatment</v>
      </c>
      <c r="AK128" s="495">
        <f t="shared" si="62"/>
        <v>0</v>
      </c>
      <c r="AL128" s="433">
        <f>VLOOKUP(AI128,Treatments!$C$7:$J$407,8)</f>
        <v>0</v>
      </c>
      <c r="AM128" s="495">
        <f t="shared" si="63"/>
        <v>0</v>
      </c>
      <c r="AN128" s="160"/>
      <c r="AO128" s="496">
        <f t="shared" si="64"/>
        <v>0</v>
      </c>
      <c r="AP128" s="433">
        <f t="shared" si="68"/>
        <v>0</v>
      </c>
      <c r="AQ128" s="411">
        <f t="shared" si="65"/>
        <v>0</v>
      </c>
      <c r="AR128" s="1"/>
    </row>
    <row r="129" spans="2:44" x14ac:dyDescent="0.2">
      <c r="B129" s="435"/>
      <c r="C129" s="491" t="str">
        <f>IF(B129&lt;=0,"",VLOOKUP(B129,Treatments!$C$7:$J$407,2))</f>
        <v/>
      </c>
      <c r="D129" s="492"/>
      <c r="E129" s="433">
        <f>VLOOKUP(B129,Treatments!$C$7:$J$407,8)</f>
        <v>0</v>
      </c>
      <c r="F129" s="435"/>
      <c r="G129" s="493"/>
      <c r="H129" s="433">
        <f t="shared" si="69"/>
        <v>0</v>
      </c>
      <c r="I129" s="411">
        <f t="shared" si="74"/>
        <v>0</v>
      </c>
      <c r="L129" s="435"/>
      <c r="M129" s="491" t="str">
        <f>VLOOKUP(L129,Treatments!$C$7:$J$407,2)</f>
        <v>No treatment</v>
      </c>
      <c r="N129" s="492"/>
      <c r="O129" s="433">
        <f>VLOOKUP(L129,Treatments!$C$7:$J$407,8)</f>
        <v>0</v>
      </c>
      <c r="P129" s="435"/>
      <c r="Q129" s="498"/>
      <c r="R129" s="493"/>
      <c r="S129" s="433">
        <f t="shared" si="66"/>
        <v>0</v>
      </c>
      <c r="T129" s="411">
        <f t="shared" si="67"/>
        <v>0</v>
      </c>
      <c r="U129" s="1"/>
      <c r="Y129" s="447">
        <f t="shared" si="75"/>
        <v>0</v>
      </c>
      <c r="Z129" s="491" t="str">
        <f>VLOOKUP(Y129,Treatments!$C$7:$J$407,2)</f>
        <v>No treatment</v>
      </c>
      <c r="AA129" s="495">
        <f t="shared" si="70"/>
        <v>0</v>
      </c>
      <c r="AB129" s="433">
        <f>VLOOKUP(Y129,Treatments!$C$7:$J$407,8)</f>
        <v>0</v>
      </c>
      <c r="AC129" s="495">
        <f t="shared" si="71"/>
        <v>0</v>
      </c>
      <c r="AD129" s="496">
        <f t="shared" si="71"/>
        <v>0</v>
      </c>
      <c r="AE129" s="433">
        <f t="shared" si="72"/>
        <v>0</v>
      </c>
      <c r="AF129" s="411">
        <f t="shared" si="73"/>
        <v>0</v>
      </c>
      <c r="AI129" s="447">
        <f t="shared" si="61"/>
        <v>0</v>
      </c>
      <c r="AJ129" s="491" t="str">
        <f>VLOOKUP(AI129,Treatments!$C$7:$J$407,2)</f>
        <v>No treatment</v>
      </c>
      <c r="AK129" s="495">
        <f t="shared" si="62"/>
        <v>0</v>
      </c>
      <c r="AL129" s="433">
        <f>VLOOKUP(AI129,Treatments!$C$7:$J$407,8)</f>
        <v>0</v>
      </c>
      <c r="AM129" s="495">
        <f t="shared" si="63"/>
        <v>0</v>
      </c>
      <c r="AN129" s="498"/>
      <c r="AO129" s="496">
        <f t="shared" si="64"/>
        <v>0</v>
      </c>
      <c r="AP129" s="433">
        <f t="shared" si="68"/>
        <v>0</v>
      </c>
      <c r="AQ129" s="411">
        <f t="shared" si="65"/>
        <v>0</v>
      </c>
      <c r="AR129" s="1"/>
    </row>
    <row r="130" spans="2:44" x14ac:dyDescent="0.2">
      <c r="B130" s="435"/>
      <c r="C130" s="491" t="str">
        <f>IF(B130&lt;=0,"",VLOOKUP(B130,Treatments!$C$7:$J$407,2))</f>
        <v/>
      </c>
      <c r="D130" s="492"/>
      <c r="E130" s="433">
        <f>VLOOKUP(B130,Treatments!$C$7:$J$407,8)</f>
        <v>0</v>
      </c>
      <c r="F130" s="435"/>
      <c r="G130" s="493"/>
      <c r="H130" s="433">
        <f t="shared" si="69"/>
        <v>0</v>
      </c>
      <c r="I130" s="411">
        <f t="shared" si="74"/>
        <v>0</v>
      </c>
      <c r="L130" s="1"/>
      <c r="M130" s="1"/>
      <c r="N130" s="1"/>
      <c r="O130" s="1"/>
      <c r="P130" s="1"/>
      <c r="Q130" s="1"/>
      <c r="R130" s="6"/>
      <c r="S130" s="1"/>
      <c r="T130" s="1"/>
      <c r="U130" s="1"/>
      <c r="Y130" s="447">
        <f t="shared" si="75"/>
        <v>0</v>
      </c>
      <c r="Z130" s="491" t="str">
        <f>VLOOKUP(Y130,Treatments!$C$7:$J$407,2)</f>
        <v>No treatment</v>
      </c>
      <c r="AA130" s="495">
        <f t="shared" si="70"/>
        <v>0</v>
      </c>
      <c r="AB130" s="433">
        <f>VLOOKUP(Y130,Treatments!$C$7:$J$407,8)</f>
        <v>0</v>
      </c>
      <c r="AC130" s="495">
        <f t="shared" si="71"/>
        <v>0</v>
      </c>
      <c r="AD130" s="496">
        <f t="shared" si="71"/>
        <v>0</v>
      </c>
      <c r="AE130" s="433">
        <f t="shared" si="72"/>
        <v>0</v>
      </c>
      <c r="AF130" s="411">
        <f t="shared" si="73"/>
        <v>0</v>
      </c>
      <c r="AI130" s="509"/>
      <c r="AJ130" s="1"/>
      <c r="AK130" s="1"/>
      <c r="AL130" s="1"/>
      <c r="AM130" s="1"/>
      <c r="AN130" s="1"/>
      <c r="AO130" s="6"/>
      <c r="AP130" s="1"/>
      <c r="AQ130" s="1"/>
      <c r="AR130" s="1"/>
    </row>
    <row r="131" spans="2:44" ht="15.75" x14ac:dyDescent="0.25">
      <c r="B131" s="435"/>
      <c r="C131" s="491" t="str">
        <f>IF(B131&lt;=0,"",VLOOKUP(B131,Treatments!$C$7:$J$407,2))</f>
        <v/>
      </c>
      <c r="D131" s="492"/>
      <c r="E131" s="433">
        <f>VLOOKUP(B131,Treatments!$C$7:$J$407,8)</f>
        <v>0</v>
      </c>
      <c r="F131" s="435"/>
      <c r="G131" s="493"/>
      <c r="H131" s="433">
        <f t="shared" si="69"/>
        <v>0</v>
      </c>
      <c r="I131" s="411">
        <f t="shared" si="74"/>
        <v>0</v>
      </c>
      <c r="L131" s="482" t="s">
        <v>994</v>
      </c>
      <c r="M131" s="483" t="s">
        <v>581</v>
      </c>
      <c r="N131" s="484" t="s">
        <v>616</v>
      </c>
      <c r="O131" s="482" t="s">
        <v>619</v>
      </c>
      <c r="P131" s="485" t="s">
        <v>617</v>
      </c>
      <c r="Q131" s="482"/>
      <c r="R131" s="485" t="s">
        <v>618</v>
      </c>
      <c r="S131" s="487"/>
      <c r="T131" s="487"/>
      <c r="U131" s="1"/>
      <c r="Y131" s="447">
        <f t="shared" si="75"/>
        <v>0</v>
      </c>
      <c r="Z131" s="491" t="str">
        <f>VLOOKUP(Y131,Treatments!$C$7:$J$407,2)</f>
        <v>No treatment</v>
      </c>
      <c r="AA131" s="495">
        <f t="shared" si="70"/>
        <v>0</v>
      </c>
      <c r="AB131" s="433">
        <f>VLOOKUP(Y131,Treatments!$C$7:$J$407,8)</f>
        <v>0</v>
      </c>
      <c r="AC131" s="495">
        <f t="shared" si="71"/>
        <v>0</v>
      </c>
      <c r="AD131" s="496">
        <f t="shared" si="71"/>
        <v>0</v>
      </c>
      <c r="AE131" s="433">
        <f t="shared" si="72"/>
        <v>0</v>
      </c>
      <c r="AF131" s="411">
        <f t="shared" si="73"/>
        <v>0</v>
      </c>
      <c r="AI131" s="499" t="s">
        <v>994</v>
      </c>
      <c r="AJ131" s="5" t="s">
        <v>581</v>
      </c>
      <c r="AK131" s="14" t="s">
        <v>616</v>
      </c>
      <c r="AL131" s="6" t="s">
        <v>619</v>
      </c>
      <c r="AM131" s="1" t="s">
        <v>617</v>
      </c>
      <c r="AN131" s="6"/>
      <c r="AO131" s="1" t="s">
        <v>618</v>
      </c>
      <c r="AP131" s="500"/>
      <c r="AQ131" s="62"/>
      <c r="AR131" s="1"/>
    </row>
    <row r="132" spans="2:44" ht="15.75" x14ac:dyDescent="0.25">
      <c r="B132" s="435"/>
      <c r="C132" s="491" t="str">
        <f>IF(B132&lt;=0,"",VLOOKUP(B132,Treatments!$C$7:$J$407,2))</f>
        <v/>
      </c>
      <c r="D132" s="492"/>
      <c r="E132" s="433">
        <f>VLOOKUP(B132,Treatments!$C$7:$J$407,8)</f>
        <v>0</v>
      </c>
      <c r="F132" s="435"/>
      <c r="G132" s="493"/>
      <c r="H132" s="433">
        <f t="shared" si="69"/>
        <v>0</v>
      </c>
      <c r="I132" s="411">
        <f t="shared" si="74"/>
        <v>0</v>
      </c>
      <c r="L132" s="305">
        <v>344</v>
      </c>
      <c r="M132" s="491" t="str">
        <f>VLOOKUP(L132,Treatments!$C$7:$J$407,2)</f>
        <v>Linkage spray rig</v>
      </c>
      <c r="N132" s="306">
        <v>1</v>
      </c>
      <c r="O132" s="433">
        <f>VLOOKUP(L132,Treatments!$C$7:$J$407,8)</f>
        <v>3.3779411764705882</v>
      </c>
      <c r="P132" s="305">
        <v>1</v>
      </c>
      <c r="Q132" s="494"/>
      <c r="R132" s="308">
        <v>0.8</v>
      </c>
      <c r="S132" s="433">
        <f t="shared" ref="S132:S137" si="76">N132*O132*P132*R132</f>
        <v>2.7023529411764708</v>
      </c>
      <c r="T132" s="411">
        <f t="shared" ref="T132:T138" si="77">S132*$D$9</f>
        <v>270.23529411764707</v>
      </c>
      <c r="U132" s="1"/>
      <c r="Y132" s="447">
        <f t="shared" si="75"/>
        <v>0</v>
      </c>
      <c r="Z132" s="491" t="str">
        <f>VLOOKUP(Y132,Treatments!$C$7:$J$407,2)</f>
        <v>No treatment</v>
      </c>
      <c r="AA132" s="495">
        <f t="shared" si="70"/>
        <v>0</v>
      </c>
      <c r="AB132" s="433">
        <f>VLOOKUP(Y132,Treatments!$C$7:$J$407,8)</f>
        <v>0</v>
      </c>
      <c r="AC132" s="495">
        <f t="shared" si="71"/>
        <v>0</v>
      </c>
      <c r="AD132" s="496">
        <f t="shared" si="71"/>
        <v>0</v>
      </c>
      <c r="AE132" s="433">
        <f t="shared" si="72"/>
        <v>0</v>
      </c>
      <c r="AF132" s="411">
        <f t="shared" si="73"/>
        <v>0</v>
      </c>
      <c r="AI132" s="447">
        <f t="shared" ref="AI132:AI137" si="78">IF(AND(L132&gt;=344,L132&lt;=358),L132+15,L132)</f>
        <v>359</v>
      </c>
      <c r="AJ132" s="491" t="str">
        <f>VLOOKUP(AI132,Treatments!$C$7:$J$407,2)</f>
        <v>Linkage spray rig</v>
      </c>
      <c r="AK132" s="495">
        <f t="shared" ref="AK132:AK137" si="79">N132</f>
        <v>1</v>
      </c>
      <c r="AL132" s="433">
        <f>VLOOKUP(AI132,Treatments!$C$7:$J$407,8)</f>
        <v>8.01</v>
      </c>
      <c r="AM132" s="495">
        <f t="shared" ref="AM132:AM137" si="80">P132</f>
        <v>1</v>
      </c>
      <c r="AN132" s="494"/>
      <c r="AO132" s="496">
        <f t="shared" ref="AO132:AO137" si="81">R132</f>
        <v>0.8</v>
      </c>
      <c r="AP132" s="433">
        <f t="shared" ref="AP132:AP137" si="82">AK132*AL132*AM132*AO132</f>
        <v>6.4080000000000004</v>
      </c>
      <c r="AQ132" s="411">
        <f t="shared" ref="AQ132:AQ137" si="83">AP132*$D$9</f>
        <v>640.80000000000007</v>
      </c>
      <c r="AR132" s="1"/>
    </row>
    <row r="133" spans="2:44" ht="15.75" x14ac:dyDescent="0.25">
      <c r="B133" s="435"/>
      <c r="C133" s="491" t="str">
        <f>IF(B133&lt;=0,"",VLOOKUP(B133,Treatments!$C$7:$J$407,2))</f>
        <v/>
      </c>
      <c r="D133" s="492"/>
      <c r="E133" s="433">
        <f>VLOOKUP(B133,Treatments!$C$7:$J$407,8)</f>
        <v>0</v>
      </c>
      <c r="F133" s="435"/>
      <c r="G133" s="493"/>
      <c r="H133" s="433">
        <f t="shared" si="69"/>
        <v>0</v>
      </c>
      <c r="I133" s="411">
        <f t="shared" si="74"/>
        <v>0</v>
      </c>
      <c r="L133" s="305">
        <v>145</v>
      </c>
      <c r="M133" s="491" t="str">
        <f>VLOOKUP(L133,Treatments!$C$7:$J$407,2)</f>
        <v>Fusilade</v>
      </c>
      <c r="N133" s="306">
        <v>1.5</v>
      </c>
      <c r="O133" s="433">
        <f>VLOOKUP(L133,Treatments!$C$7:$J$407,8)</f>
        <v>69.2727</v>
      </c>
      <c r="P133" s="305">
        <v>1</v>
      </c>
      <c r="Q133" s="160"/>
      <c r="R133" s="308">
        <v>0.8</v>
      </c>
      <c r="S133" s="433">
        <f t="shared" si="76"/>
        <v>83.127240000000015</v>
      </c>
      <c r="T133" s="411">
        <f t="shared" si="77"/>
        <v>8312.724000000002</v>
      </c>
      <c r="U133" s="1"/>
      <c r="Y133" s="447">
        <f t="shared" si="75"/>
        <v>0</v>
      </c>
      <c r="Z133" s="491" t="str">
        <f>VLOOKUP(Y133,Treatments!$C$7:$J$407,2)</f>
        <v>No treatment</v>
      </c>
      <c r="AA133" s="495">
        <f t="shared" si="70"/>
        <v>0</v>
      </c>
      <c r="AB133" s="433">
        <f>VLOOKUP(Y133,Treatments!$C$7:$J$407,8)</f>
        <v>0</v>
      </c>
      <c r="AC133" s="495">
        <f t="shared" si="71"/>
        <v>0</v>
      </c>
      <c r="AD133" s="496">
        <f t="shared" si="71"/>
        <v>0</v>
      </c>
      <c r="AE133" s="433">
        <f t="shared" si="72"/>
        <v>0</v>
      </c>
      <c r="AF133" s="411">
        <f t="shared" si="73"/>
        <v>0</v>
      </c>
      <c r="AI133" s="447">
        <f t="shared" si="78"/>
        <v>145</v>
      </c>
      <c r="AJ133" s="491" t="str">
        <f>VLOOKUP(AI133,Treatments!$C$7:$J$407,2)</f>
        <v>Fusilade</v>
      </c>
      <c r="AK133" s="495">
        <f t="shared" si="79"/>
        <v>1.5</v>
      </c>
      <c r="AL133" s="433">
        <f>VLOOKUP(AI133,Treatments!$C$7:$J$407,8)</f>
        <v>69.2727</v>
      </c>
      <c r="AM133" s="495">
        <f t="shared" si="80"/>
        <v>1</v>
      </c>
      <c r="AN133" s="160"/>
      <c r="AO133" s="496">
        <f t="shared" si="81"/>
        <v>0.8</v>
      </c>
      <c r="AP133" s="433">
        <f t="shared" si="82"/>
        <v>83.127240000000015</v>
      </c>
      <c r="AQ133" s="411">
        <f t="shared" si="83"/>
        <v>8312.724000000002</v>
      </c>
      <c r="AR133" s="1"/>
    </row>
    <row r="134" spans="2:44" ht="15.75" x14ac:dyDescent="0.25">
      <c r="B134" s="435"/>
      <c r="C134" s="491" t="str">
        <f>IF(B134&lt;=0,"",VLOOKUP(B134,Treatments!$C$7:$J$407,2))</f>
        <v/>
      </c>
      <c r="D134" s="492"/>
      <c r="E134" s="433">
        <f>VLOOKUP(B134,Treatments!$C$7:$J$407,8)</f>
        <v>0</v>
      </c>
      <c r="F134" s="435"/>
      <c r="G134" s="493"/>
      <c r="H134" s="433">
        <f t="shared" si="69"/>
        <v>0</v>
      </c>
      <c r="I134" s="411">
        <f t="shared" si="74"/>
        <v>0</v>
      </c>
      <c r="L134" s="305">
        <v>365</v>
      </c>
      <c r="M134" s="491" t="str">
        <f>VLOOKUP(L134,Treatments!$C$7:$J$407,2)</f>
        <v>Grass planter</v>
      </c>
      <c r="N134" s="306">
        <v>1</v>
      </c>
      <c r="O134" s="433">
        <f>VLOOKUP(L134,Treatments!$C$7:$J$407,8)</f>
        <v>11.097</v>
      </c>
      <c r="P134" s="305">
        <v>1</v>
      </c>
      <c r="Q134" s="160"/>
      <c r="R134" s="308">
        <v>0.8</v>
      </c>
      <c r="S134" s="433">
        <f t="shared" si="76"/>
        <v>8.8775999999999993</v>
      </c>
      <c r="T134" s="411">
        <f t="shared" si="77"/>
        <v>887.75999999999988</v>
      </c>
      <c r="U134" s="1"/>
      <c r="Y134" s="447">
        <f t="shared" si="75"/>
        <v>0</v>
      </c>
      <c r="Z134" s="491" t="str">
        <f>VLOOKUP(Y134,Treatments!$C$7:$J$407,2)</f>
        <v>No treatment</v>
      </c>
      <c r="AA134" s="495">
        <f t="shared" si="70"/>
        <v>0</v>
      </c>
      <c r="AB134" s="433">
        <f>VLOOKUP(Y134,Treatments!$C$7:$J$407,8)</f>
        <v>0</v>
      </c>
      <c r="AC134" s="495">
        <f t="shared" si="71"/>
        <v>0</v>
      </c>
      <c r="AD134" s="496">
        <f t="shared" si="71"/>
        <v>0</v>
      </c>
      <c r="AE134" s="433">
        <f t="shared" si="72"/>
        <v>0</v>
      </c>
      <c r="AF134" s="411">
        <f t="shared" si="73"/>
        <v>0</v>
      </c>
      <c r="AI134" s="447">
        <f t="shared" si="78"/>
        <v>365</v>
      </c>
      <c r="AJ134" s="491" t="str">
        <f>VLOOKUP(AI134,Treatments!$C$7:$J$407,2)</f>
        <v>Grass planter</v>
      </c>
      <c r="AK134" s="495">
        <f t="shared" si="79"/>
        <v>1</v>
      </c>
      <c r="AL134" s="433">
        <f>VLOOKUP(AI134,Treatments!$C$7:$J$407,8)</f>
        <v>11.097</v>
      </c>
      <c r="AM134" s="495">
        <f t="shared" si="80"/>
        <v>1</v>
      </c>
      <c r="AN134" s="160"/>
      <c r="AO134" s="496">
        <f t="shared" si="81"/>
        <v>0.8</v>
      </c>
      <c r="AP134" s="433">
        <f t="shared" si="82"/>
        <v>8.8775999999999993</v>
      </c>
      <c r="AQ134" s="411">
        <f t="shared" si="83"/>
        <v>887.75999999999988</v>
      </c>
      <c r="AR134" s="1"/>
    </row>
    <row r="135" spans="2:44" ht="15.75" x14ac:dyDescent="0.25">
      <c r="B135" s="435"/>
      <c r="C135" s="491" t="str">
        <f>IF(B135&lt;=0,"",VLOOKUP(B135,Treatments!$C$7:$J$407,2))</f>
        <v/>
      </c>
      <c r="D135" s="492"/>
      <c r="E135" s="433">
        <f>VLOOKUP(B135,Treatments!$C$7:$J$407,8)</f>
        <v>0</v>
      </c>
      <c r="F135" s="435"/>
      <c r="G135" s="493"/>
      <c r="H135" s="433">
        <f t="shared" si="69"/>
        <v>0</v>
      </c>
      <c r="I135" s="411">
        <f t="shared" si="74"/>
        <v>0</v>
      </c>
      <c r="L135" s="305">
        <v>286</v>
      </c>
      <c r="M135" s="491" t="str">
        <f>VLOOKUP(L135,Treatments!$C$7:$J$407,2)</f>
        <v xml:space="preserve">Grass seed </v>
      </c>
      <c r="N135" s="306">
        <v>4</v>
      </c>
      <c r="O135" s="433">
        <f>VLOOKUP(L135,Treatments!$C$7:$J$407,8)</f>
        <v>17</v>
      </c>
      <c r="P135" s="305">
        <v>1</v>
      </c>
      <c r="Q135" s="160"/>
      <c r="R135" s="308">
        <v>0.8</v>
      </c>
      <c r="S135" s="433">
        <f t="shared" si="76"/>
        <v>54.400000000000006</v>
      </c>
      <c r="T135" s="411">
        <f t="shared" si="77"/>
        <v>5440.0000000000009</v>
      </c>
      <c r="U135" s="1"/>
      <c r="Y135" s="447">
        <f t="shared" si="75"/>
        <v>0</v>
      </c>
      <c r="Z135" s="491" t="str">
        <f>VLOOKUP(Y135,Treatments!$C$7:$J$407,2)</f>
        <v>No treatment</v>
      </c>
      <c r="AA135" s="495">
        <f t="shared" si="70"/>
        <v>0</v>
      </c>
      <c r="AB135" s="433">
        <f>VLOOKUP(Y135,Treatments!$C$7:$J$407,8)</f>
        <v>0</v>
      </c>
      <c r="AC135" s="495">
        <f t="shared" si="71"/>
        <v>0</v>
      </c>
      <c r="AD135" s="496">
        <f t="shared" si="71"/>
        <v>0</v>
      </c>
      <c r="AE135" s="433">
        <f t="shared" si="72"/>
        <v>0</v>
      </c>
      <c r="AF135" s="411">
        <f t="shared" si="73"/>
        <v>0</v>
      </c>
      <c r="AI135" s="447">
        <f t="shared" si="78"/>
        <v>286</v>
      </c>
      <c r="AJ135" s="491" t="str">
        <f>VLOOKUP(AI135,Treatments!$C$7:$J$407,2)</f>
        <v xml:space="preserve">Grass seed </v>
      </c>
      <c r="AK135" s="495">
        <f t="shared" si="79"/>
        <v>4</v>
      </c>
      <c r="AL135" s="433">
        <f>VLOOKUP(AI135,Treatments!$C$7:$J$407,8)</f>
        <v>17</v>
      </c>
      <c r="AM135" s="495">
        <f t="shared" si="80"/>
        <v>1</v>
      </c>
      <c r="AN135" s="160"/>
      <c r="AO135" s="496">
        <f t="shared" si="81"/>
        <v>0.8</v>
      </c>
      <c r="AP135" s="433">
        <f t="shared" si="82"/>
        <v>54.400000000000006</v>
      </c>
      <c r="AQ135" s="411">
        <f t="shared" si="83"/>
        <v>5440.0000000000009</v>
      </c>
      <c r="AR135" s="1"/>
    </row>
    <row r="136" spans="2:44" ht="15.75" x14ac:dyDescent="0.25">
      <c r="B136" s="435"/>
      <c r="C136" s="491" t="str">
        <f>IF(B136&lt;=0,"",VLOOKUP(B136,Treatments!$C$7:$J$407,2))</f>
        <v/>
      </c>
      <c r="D136" s="492"/>
      <c r="E136" s="433">
        <f>VLOOKUP(B136,Treatments!$C$7:$J$407,8)</f>
        <v>0</v>
      </c>
      <c r="F136" s="435"/>
      <c r="G136" s="493"/>
      <c r="H136" s="433">
        <f t="shared" si="69"/>
        <v>0</v>
      </c>
      <c r="I136" s="411">
        <f t="shared" si="74"/>
        <v>0</v>
      </c>
      <c r="L136" s="435"/>
      <c r="M136" s="491" t="str">
        <f>VLOOKUP(L136,Treatments!$C$7:$J$407,2)</f>
        <v>No treatment</v>
      </c>
      <c r="N136" s="492"/>
      <c r="O136" s="433">
        <f>VLOOKUP(L136,Treatments!$C$7:$J$407,8)</f>
        <v>0</v>
      </c>
      <c r="P136" s="435"/>
      <c r="Q136" s="160"/>
      <c r="R136" s="308"/>
      <c r="S136" s="433">
        <f t="shared" si="76"/>
        <v>0</v>
      </c>
      <c r="T136" s="411">
        <f t="shared" si="77"/>
        <v>0</v>
      </c>
      <c r="U136" s="1"/>
      <c r="Y136" s="447">
        <f t="shared" si="75"/>
        <v>0</v>
      </c>
      <c r="Z136" s="491" t="str">
        <f>VLOOKUP(Y136,Treatments!$C$7:$J$407,2)</f>
        <v>No treatment</v>
      </c>
      <c r="AA136" s="495">
        <f t="shared" si="70"/>
        <v>0</v>
      </c>
      <c r="AB136" s="433">
        <f>VLOOKUP(Y136,Treatments!$C$7:$J$407,8)</f>
        <v>0</v>
      </c>
      <c r="AC136" s="495">
        <f t="shared" si="71"/>
        <v>0</v>
      </c>
      <c r="AD136" s="496">
        <f t="shared" si="71"/>
        <v>0</v>
      </c>
      <c r="AE136" s="433">
        <f t="shared" si="72"/>
        <v>0</v>
      </c>
      <c r="AF136" s="411">
        <f t="shared" si="73"/>
        <v>0</v>
      </c>
      <c r="AI136" s="447">
        <f t="shared" si="78"/>
        <v>0</v>
      </c>
      <c r="AJ136" s="491" t="str">
        <f>VLOOKUP(AI136,Treatments!$C$7:$J$407,2)</f>
        <v>No treatment</v>
      </c>
      <c r="AK136" s="495">
        <f t="shared" si="79"/>
        <v>0</v>
      </c>
      <c r="AL136" s="433">
        <f>VLOOKUP(AI136,Treatments!$C$7:$J$407,8)</f>
        <v>0</v>
      </c>
      <c r="AM136" s="495">
        <f t="shared" si="80"/>
        <v>0</v>
      </c>
      <c r="AN136" s="160"/>
      <c r="AO136" s="496">
        <f t="shared" si="81"/>
        <v>0</v>
      </c>
      <c r="AP136" s="433">
        <f t="shared" si="82"/>
        <v>0</v>
      </c>
      <c r="AQ136" s="411">
        <f t="shared" si="83"/>
        <v>0</v>
      </c>
      <c r="AR136" s="1"/>
    </row>
    <row r="137" spans="2:44" x14ac:dyDescent="0.2">
      <c r="B137" s="435"/>
      <c r="C137" s="491" t="str">
        <f>IF(B137&lt;=0,"",VLOOKUP(B137,Treatments!$C$7:$J$407,2))</f>
        <v/>
      </c>
      <c r="D137" s="492"/>
      <c r="E137" s="433">
        <f>VLOOKUP(B137,Treatments!$C$7:$J$407,8)</f>
        <v>0</v>
      </c>
      <c r="F137" s="435"/>
      <c r="G137" s="493"/>
      <c r="H137" s="433">
        <f t="shared" si="69"/>
        <v>0</v>
      </c>
      <c r="I137" s="411">
        <f t="shared" si="74"/>
        <v>0</v>
      </c>
      <c r="L137" s="435"/>
      <c r="M137" s="491" t="str">
        <f>VLOOKUP(L137,Treatments!$C$7:$J$407,2)</f>
        <v>No treatment</v>
      </c>
      <c r="N137" s="492"/>
      <c r="O137" s="433">
        <f>VLOOKUP(L137,Treatments!$C$7:$J$407,8)</f>
        <v>0</v>
      </c>
      <c r="P137" s="435"/>
      <c r="Q137" s="498"/>
      <c r="R137" s="493"/>
      <c r="S137" s="433">
        <f t="shared" si="76"/>
        <v>0</v>
      </c>
      <c r="T137" s="411">
        <f t="shared" si="77"/>
        <v>0</v>
      </c>
      <c r="U137" s="1"/>
      <c r="Y137" s="447">
        <f t="shared" si="75"/>
        <v>0</v>
      </c>
      <c r="Z137" s="491" t="str">
        <f>VLOOKUP(Y137,Treatments!$C$7:$J$407,2)</f>
        <v>No treatment</v>
      </c>
      <c r="AA137" s="495">
        <f t="shared" si="70"/>
        <v>0</v>
      </c>
      <c r="AB137" s="433">
        <f>VLOOKUP(Y137,Treatments!$C$7:$J$407,8)</f>
        <v>0</v>
      </c>
      <c r="AC137" s="495">
        <f t="shared" si="71"/>
        <v>0</v>
      </c>
      <c r="AD137" s="496">
        <f t="shared" si="71"/>
        <v>0</v>
      </c>
      <c r="AE137" s="433">
        <f t="shared" si="72"/>
        <v>0</v>
      </c>
      <c r="AF137" s="411">
        <f t="shared" si="73"/>
        <v>0</v>
      </c>
      <c r="AI137" s="447">
        <f t="shared" si="78"/>
        <v>0</v>
      </c>
      <c r="AJ137" s="491" t="str">
        <f>VLOOKUP(AI137,Treatments!$C$7:$J$407,2)</f>
        <v>No treatment</v>
      </c>
      <c r="AK137" s="495">
        <f t="shared" si="79"/>
        <v>0</v>
      </c>
      <c r="AL137" s="433">
        <f>VLOOKUP(AI137,Treatments!$C$7:$J$407,8)</f>
        <v>0</v>
      </c>
      <c r="AM137" s="495">
        <f t="shared" si="80"/>
        <v>0</v>
      </c>
      <c r="AN137" s="498"/>
      <c r="AO137" s="496">
        <f t="shared" si="81"/>
        <v>0</v>
      </c>
      <c r="AP137" s="433">
        <f t="shared" si="82"/>
        <v>0</v>
      </c>
      <c r="AQ137" s="411">
        <f t="shared" si="83"/>
        <v>0</v>
      </c>
      <c r="AR137" s="1"/>
    </row>
    <row r="138" spans="2:44" ht="15.75" x14ac:dyDescent="0.25">
      <c r="B138" s="435"/>
      <c r="C138" s="491" t="str">
        <f>IF(B138&lt;=0,"",VLOOKUP(B138,Treatments!$C$7:$J$407,2))</f>
        <v/>
      </c>
      <c r="D138" s="492"/>
      <c r="E138" s="433">
        <f>VLOOKUP(B138,Treatments!$C$7:$J$407,8)</f>
        <v>0</v>
      </c>
      <c r="F138" s="435"/>
      <c r="G138" s="493"/>
      <c r="H138" s="433">
        <f t="shared" si="69"/>
        <v>0</v>
      </c>
      <c r="I138" s="411">
        <f t="shared" si="74"/>
        <v>0</v>
      </c>
      <c r="L138" s="1"/>
      <c r="M138" s="14"/>
      <c r="N138" s="13" t="s">
        <v>584</v>
      </c>
      <c r="O138" s="6"/>
      <c r="P138" s="1"/>
      <c r="Q138" s="6"/>
      <c r="R138" s="1"/>
      <c r="S138" s="510">
        <f>SUM(S110:S137)</f>
        <v>364.26655504965618</v>
      </c>
      <c r="T138" s="411">
        <f t="shared" si="77"/>
        <v>36426.655504965616</v>
      </c>
      <c r="U138" s="1"/>
      <c r="Y138" s="447">
        <f t="shared" si="75"/>
        <v>0</v>
      </c>
      <c r="Z138" s="491" t="str">
        <f>VLOOKUP(Y138,Treatments!$C$7:$J$407,2)</f>
        <v>No treatment</v>
      </c>
      <c r="AA138" s="495">
        <f t="shared" si="70"/>
        <v>0</v>
      </c>
      <c r="AB138" s="433">
        <f>VLOOKUP(Y138,Treatments!$C$7:$J$407,8)</f>
        <v>0</v>
      </c>
      <c r="AC138" s="495">
        <f t="shared" si="71"/>
        <v>0</v>
      </c>
      <c r="AD138" s="496">
        <f t="shared" si="71"/>
        <v>0</v>
      </c>
      <c r="AE138" s="433">
        <f t="shared" si="72"/>
        <v>0</v>
      </c>
      <c r="AF138" s="411">
        <f t="shared" si="73"/>
        <v>0</v>
      </c>
      <c r="AI138" s="1"/>
      <c r="AJ138" s="14"/>
      <c r="AK138" s="13" t="s">
        <v>584</v>
      </c>
      <c r="AL138" s="6"/>
      <c r="AM138" s="1"/>
      <c r="AN138" s="6"/>
      <c r="AO138" s="1"/>
      <c r="AP138" s="510">
        <f>SUM(AP110:AP137)</f>
        <v>423.23706077922088</v>
      </c>
      <c r="AQ138" s="510">
        <f>SUM(AQ110:AQ137)</f>
        <v>42323.706077922085</v>
      </c>
      <c r="AR138" s="1"/>
    </row>
    <row r="139" spans="2:44" x14ac:dyDescent="0.2">
      <c r="B139" s="1"/>
      <c r="C139" s="1"/>
      <c r="D139" s="1"/>
      <c r="E139" s="1"/>
      <c r="F139" s="1"/>
      <c r="G139" s="6"/>
      <c r="H139" s="1"/>
      <c r="I139" s="1"/>
      <c r="L139" s="1"/>
      <c r="M139" s="1"/>
      <c r="N139" s="1"/>
      <c r="O139" s="1"/>
      <c r="P139" s="1"/>
      <c r="Q139" s="1"/>
      <c r="R139" s="1"/>
      <c r="S139" s="1"/>
      <c r="T139" s="1"/>
      <c r="U139" s="1"/>
      <c r="Y139" s="1"/>
      <c r="Z139" s="1"/>
      <c r="AA139" s="6"/>
      <c r="AB139" s="6"/>
      <c r="AC139" s="6"/>
      <c r="AD139" s="6"/>
      <c r="AE139" s="6"/>
      <c r="AF139" s="6"/>
      <c r="AI139" s="1"/>
      <c r="AJ139" s="1"/>
      <c r="AK139" s="1"/>
      <c r="AL139" s="1"/>
      <c r="AM139" s="1"/>
      <c r="AN139" s="1"/>
      <c r="AO139" s="1"/>
      <c r="AP139" s="1"/>
      <c r="AQ139" s="1"/>
      <c r="AR139" s="1"/>
    </row>
    <row r="140" spans="2:44" ht="15.75" x14ac:dyDescent="0.25">
      <c r="B140" s="501" t="s">
        <v>994</v>
      </c>
      <c r="C140" s="502" t="s">
        <v>581</v>
      </c>
      <c r="D140" s="503" t="s">
        <v>616</v>
      </c>
      <c r="E140" s="501" t="s">
        <v>619</v>
      </c>
      <c r="F140" s="504" t="s">
        <v>617</v>
      </c>
      <c r="G140" s="504" t="s">
        <v>618</v>
      </c>
      <c r="H140" s="505"/>
      <c r="I140" s="506"/>
      <c r="L140" s="1"/>
      <c r="M140" s="1"/>
      <c r="N140" s="1"/>
      <c r="O140" s="1"/>
      <c r="P140" s="1"/>
      <c r="Q140" s="1"/>
      <c r="R140" s="1"/>
      <c r="S140" s="511"/>
      <c r="T140" s="512"/>
      <c r="U140" s="1"/>
      <c r="Y140" s="6" t="s">
        <v>994</v>
      </c>
      <c r="Z140" s="5" t="s">
        <v>581</v>
      </c>
      <c r="AA140" s="6" t="s">
        <v>616</v>
      </c>
      <c r="AB140" s="6" t="s">
        <v>619</v>
      </c>
      <c r="AC140" s="6" t="s">
        <v>617</v>
      </c>
      <c r="AD140" s="6" t="s">
        <v>618</v>
      </c>
      <c r="AE140" s="507"/>
      <c r="AF140" s="508"/>
      <c r="AI140" s="1"/>
      <c r="AJ140" s="1"/>
      <c r="AK140" s="1"/>
      <c r="AL140" s="1"/>
      <c r="AM140" s="1"/>
      <c r="AN140" s="1"/>
      <c r="AO140" s="1"/>
      <c r="AP140" s="511"/>
      <c r="AQ140" s="512"/>
      <c r="AR140" s="1"/>
    </row>
    <row r="141" spans="2:44" ht="15.75" x14ac:dyDescent="0.25">
      <c r="B141" s="305">
        <v>88</v>
      </c>
      <c r="C141" s="491" t="str">
        <f>IF(B141&lt;=0,"",VLOOKUP(B141,Treatments!$C$7:$J$407,2))</f>
        <v>Superphosphate</v>
      </c>
      <c r="D141" s="306">
        <v>100</v>
      </c>
      <c r="E141" s="433">
        <f>VLOOKUP(B141,Treatments!$C$7:$J$407,8)</f>
        <v>0.57999999999999996</v>
      </c>
      <c r="F141" s="305">
        <v>0.1</v>
      </c>
      <c r="G141" s="308">
        <v>1</v>
      </c>
      <c r="H141" s="433">
        <f t="shared" ref="H141:H147" si="84">D141*E141*F141*G141</f>
        <v>5.8</v>
      </c>
      <c r="I141" s="411">
        <f>H141*$D$9</f>
        <v>580</v>
      </c>
      <c r="L141" s="1"/>
      <c r="N141" s="1"/>
      <c r="O141" s="1"/>
      <c r="P141" s="1"/>
      <c r="Q141" s="1"/>
      <c r="R141" s="12" t="s">
        <v>794</v>
      </c>
      <c r="S141" s="513">
        <f>Buffel!E217</f>
        <v>48.925563416666691</v>
      </c>
      <c r="T141" s="510">
        <f>S141*$D$9</f>
        <v>4892.5563416666691</v>
      </c>
      <c r="U141" s="1"/>
      <c r="Y141" s="447">
        <f t="shared" ref="Y141:Y146" si="85">IF(AND(B141&gt;=344,B141&lt;=358),B141+15,B141)</f>
        <v>88</v>
      </c>
      <c r="Z141" s="491" t="str">
        <f>VLOOKUP(Y141,Treatments!$C$7:$J$407,2)</f>
        <v>Superphosphate</v>
      </c>
      <c r="AA141" s="495">
        <f>D141</f>
        <v>100</v>
      </c>
      <c r="AB141" s="433">
        <f>VLOOKUP(Y141,Treatments!$C$7:$J$407,8)</f>
        <v>0.57999999999999996</v>
      </c>
      <c r="AC141" s="495">
        <f>F141</f>
        <v>0.1</v>
      </c>
      <c r="AD141" s="496">
        <f t="shared" ref="AD141:AD147" si="86">G141</f>
        <v>1</v>
      </c>
      <c r="AE141" s="433">
        <f t="shared" ref="AE141:AE147" si="87">AA141*AB141*AC141*AD141</f>
        <v>5.8</v>
      </c>
      <c r="AF141" s="411">
        <f t="shared" ref="AF141:AF147" si="88">AE141*$D$9</f>
        <v>580</v>
      </c>
      <c r="AI141" s="1"/>
      <c r="AK141" s="1"/>
      <c r="AL141" s="1"/>
      <c r="AM141" s="1"/>
      <c r="AN141" s="1"/>
      <c r="AO141" s="12" t="s">
        <v>794</v>
      </c>
      <c r="AP141" s="510">
        <f>S141</f>
        <v>48.925563416666691</v>
      </c>
      <c r="AQ141" s="510">
        <f>AP141*$D$9</f>
        <v>4892.5563416666691</v>
      </c>
      <c r="AR141" s="1"/>
    </row>
    <row r="142" spans="2:44" ht="15.75" x14ac:dyDescent="0.25">
      <c r="B142" s="305">
        <v>24</v>
      </c>
      <c r="C142" s="491" t="str">
        <f>IF(B142&lt;=0,"",VLOOKUP(B142,Treatments!$C$7:$J$407,2))</f>
        <v>Leucaena maintenance</v>
      </c>
      <c r="D142" s="306">
        <v>1</v>
      </c>
      <c r="E142" s="433">
        <f>VLOOKUP(B142,Treatments!$C$7:$J$407,8)</f>
        <v>81.510000000000005</v>
      </c>
      <c r="F142" s="305">
        <v>0.1</v>
      </c>
      <c r="G142" s="308">
        <v>1</v>
      </c>
      <c r="H142" s="433">
        <f t="shared" si="84"/>
        <v>8.1510000000000016</v>
      </c>
      <c r="I142" s="411">
        <f t="shared" ref="I142:I147" si="89">H142*$D$9</f>
        <v>815.10000000000014</v>
      </c>
      <c r="L142" s="1"/>
      <c r="M142" s="1"/>
      <c r="N142" s="1"/>
      <c r="O142" s="1"/>
      <c r="P142" s="1"/>
      <c r="Q142" s="12" t="s">
        <v>585</v>
      </c>
      <c r="R142" s="514">
        <v>0.05</v>
      </c>
      <c r="S142" s="510">
        <f>S141+S140+S138</f>
        <v>413.19211846632288</v>
      </c>
      <c r="T142" s="510">
        <f>T141+T140+T138</f>
        <v>41319.211846632286</v>
      </c>
      <c r="U142" s="1"/>
      <c r="Y142" s="447">
        <f t="shared" si="85"/>
        <v>24</v>
      </c>
      <c r="Z142" s="491" t="str">
        <f>VLOOKUP(Y142,Treatments!$C$7:$J$407,2)</f>
        <v>Leucaena maintenance</v>
      </c>
      <c r="AA142" s="495">
        <f t="shared" ref="AA142:AA147" si="90">D142</f>
        <v>1</v>
      </c>
      <c r="AB142" s="433">
        <f>VLOOKUP(Y142,Treatments!$C$7:$J$407,8)</f>
        <v>81.510000000000005</v>
      </c>
      <c r="AC142" s="495">
        <f t="shared" ref="AC142:AC147" si="91">F142</f>
        <v>0.1</v>
      </c>
      <c r="AD142" s="496">
        <f t="shared" si="86"/>
        <v>1</v>
      </c>
      <c r="AE142" s="433">
        <f t="shared" si="87"/>
        <v>8.1510000000000016</v>
      </c>
      <c r="AF142" s="411">
        <f t="shared" si="88"/>
        <v>815.10000000000014</v>
      </c>
      <c r="AI142" s="1"/>
      <c r="AJ142" s="1"/>
      <c r="AK142" s="1"/>
      <c r="AL142" s="1"/>
      <c r="AM142" s="1"/>
      <c r="AN142" s="12" t="s">
        <v>585</v>
      </c>
      <c r="AO142" s="496">
        <f>R142</f>
        <v>0.05</v>
      </c>
      <c r="AP142" s="510">
        <f>AP141+AP140+AP138</f>
        <v>472.16262419588759</v>
      </c>
      <c r="AQ142" s="510">
        <f>AQ141+AQ140+AQ138</f>
        <v>47216.262419588755</v>
      </c>
      <c r="AR142" s="1"/>
    </row>
    <row r="143" spans="2:44" ht="15.75" x14ac:dyDescent="0.25">
      <c r="B143" s="305">
        <v>25</v>
      </c>
      <c r="C143" s="491" t="str">
        <f>IF(B143&lt;=0,"",VLOOKUP(B143,Treatments!$C$7:$J$407,2))</f>
        <v>Leucaena fertiliser spreading</v>
      </c>
      <c r="D143" s="306">
        <v>1</v>
      </c>
      <c r="E143" s="433">
        <f>VLOOKUP(B143,Treatments!$C$7:$J$407,8)</f>
        <v>8</v>
      </c>
      <c r="F143" s="305">
        <v>0.1</v>
      </c>
      <c r="G143" s="308">
        <v>1</v>
      </c>
      <c r="H143" s="433">
        <f t="shared" si="84"/>
        <v>0.8</v>
      </c>
      <c r="I143" s="411">
        <f t="shared" si="89"/>
        <v>80</v>
      </c>
      <c r="L143" s="1"/>
      <c r="N143" s="1"/>
      <c r="O143" s="17" t="s">
        <v>586</v>
      </c>
      <c r="P143" s="12" t="s">
        <v>587</v>
      </c>
      <c r="Q143" s="420">
        <v>30</v>
      </c>
      <c r="R143" s="1" t="s">
        <v>588</v>
      </c>
      <c r="S143" s="511">
        <f>PMT(R142,Q143,S142)*-1</f>
        <v>26.878740270093957</v>
      </c>
      <c r="T143" s="1" t="s">
        <v>589</v>
      </c>
      <c r="U143" s="1"/>
      <c r="Y143" s="447">
        <f t="shared" si="85"/>
        <v>25</v>
      </c>
      <c r="Z143" s="491" t="str">
        <f>VLOOKUP(Y143,Treatments!$C$7:$J$407,2)</f>
        <v>Leucaena fertiliser spreading</v>
      </c>
      <c r="AA143" s="495">
        <f t="shared" si="90"/>
        <v>1</v>
      </c>
      <c r="AB143" s="433">
        <f>VLOOKUP(Y143,Treatments!$C$7:$J$407,8)</f>
        <v>8</v>
      </c>
      <c r="AC143" s="495">
        <f t="shared" si="91"/>
        <v>0.1</v>
      </c>
      <c r="AD143" s="496">
        <f t="shared" si="86"/>
        <v>1</v>
      </c>
      <c r="AE143" s="433">
        <f t="shared" si="87"/>
        <v>0.8</v>
      </c>
      <c r="AF143" s="411">
        <f t="shared" si="88"/>
        <v>80</v>
      </c>
      <c r="AI143" s="1"/>
      <c r="AK143" s="1"/>
      <c r="AL143" s="17" t="s">
        <v>586</v>
      </c>
      <c r="AM143" s="12" t="s">
        <v>587</v>
      </c>
      <c r="AN143" s="447">
        <f>Q143</f>
        <v>30</v>
      </c>
      <c r="AO143" s="1" t="s">
        <v>588</v>
      </c>
      <c r="AP143" s="511">
        <f>PMT(AO142,AN143,AP142)*-1</f>
        <v>30.71485629521181</v>
      </c>
      <c r="AQ143" s="1" t="s">
        <v>589</v>
      </c>
      <c r="AR143" s="1"/>
    </row>
    <row r="144" spans="2:44" x14ac:dyDescent="0.2">
      <c r="B144" s="435"/>
      <c r="C144" s="491" t="str">
        <f>IF(B144&lt;=0,"",VLOOKUP(B144,Treatments!$C$7:$J$407,2))</f>
        <v/>
      </c>
      <c r="D144" s="492"/>
      <c r="E144" s="433">
        <f>VLOOKUP(B144,Treatments!$C$7:$J$407,8)</f>
        <v>0</v>
      </c>
      <c r="F144" s="435"/>
      <c r="G144" s="493"/>
      <c r="H144" s="433">
        <f t="shared" si="84"/>
        <v>0</v>
      </c>
      <c r="I144" s="411">
        <f t="shared" si="89"/>
        <v>0</v>
      </c>
      <c r="L144" s="1"/>
      <c r="N144" s="1"/>
      <c r="T144" s="1"/>
      <c r="U144" s="1"/>
      <c r="Y144" s="447">
        <f t="shared" si="85"/>
        <v>0</v>
      </c>
      <c r="Z144" s="491" t="str">
        <f>VLOOKUP(Y144,Treatments!$C$7:$J$407,2)</f>
        <v>No treatment</v>
      </c>
      <c r="AA144" s="495">
        <f t="shared" si="90"/>
        <v>0</v>
      </c>
      <c r="AB144" s="433">
        <f>VLOOKUP(Y144,Treatments!$C$7:$J$407,8)</f>
        <v>0</v>
      </c>
      <c r="AC144" s="495">
        <f t="shared" si="91"/>
        <v>0</v>
      </c>
      <c r="AD144" s="496">
        <f t="shared" si="86"/>
        <v>0</v>
      </c>
      <c r="AE144" s="433">
        <f t="shared" si="87"/>
        <v>0</v>
      </c>
      <c r="AF144" s="411">
        <f t="shared" si="88"/>
        <v>0</v>
      </c>
      <c r="AI144" s="1"/>
      <c r="AJ144" s="1"/>
      <c r="AK144" s="1"/>
      <c r="AL144" s="1"/>
      <c r="AM144" s="1"/>
      <c r="AN144" s="1"/>
      <c r="AO144" s="1"/>
      <c r="AP144" s="1"/>
      <c r="AQ144" s="1"/>
      <c r="AR144" s="1"/>
    </row>
    <row r="145" spans="2:44" x14ac:dyDescent="0.2">
      <c r="B145" s="435"/>
      <c r="C145" s="491" t="str">
        <f>IF(B145&lt;=0,"",VLOOKUP(B145,Treatments!$C$7:$J$407,2))</f>
        <v/>
      </c>
      <c r="D145" s="492"/>
      <c r="E145" s="433">
        <f>VLOOKUP(B145,Treatments!$C$7:$J$407,8)</f>
        <v>0</v>
      </c>
      <c r="F145" s="435"/>
      <c r="G145" s="493"/>
      <c r="H145" s="433">
        <f t="shared" si="84"/>
        <v>0</v>
      </c>
      <c r="I145" s="411">
        <f t="shared" si="89"/>
        <v>0</v>
      </c>
      <c r="L145" s="1"/>
      <c r="M145" s="1"/>
      <c r="N145" s="1"/>
      <c r="O145" s="1"/>
      <c r="P145" s="1"/>
      <c r="Q145" s="1"/>
      <c r="R145" s="1"/>
      <c r="S145" s="1"/>
      <c r="T145" s="1"/>
      <c r="U145" s="1"/>
      <c r="Y145" s="447">
        <f t="shared" si="85"/>
        <v>0</v>
      </c>
      <c r="Z145" s="491" t="str">
        <f>VLOOKUP(Y145,Treatments!$C$7:$J$407,2)</f>
        <v>No treatment</v>
      </c>
      <c r="AA145" s="495">
        <f t="shared" si="90"/>
        <v>0</v>
      </c>
      <c r="AB145" s="433">
        <f>VLOOKUP(Y145,Treatments!$C$7:$J$407,8)</f>
        <v>0</v>
      </c>
      <c r="AC145" s="495">
        <f t="shared" si="91"/>
        <v>0</v>
      </c>
      <c r="AD145" s="496">
        <f t="shared" si="86"/>
        <v>0</v>
      </c>
      <c r="AE145" s="433">
        <f t="shared" si="87"/>
        <v>0</v>
      </c>
      <c r="AF145" s="411">
        <f t="shared" si="88"/>
        <v>0</v>
      </c>
      <c r="AI145" s="1"/>
      <c r="AJ145" s="1"/>
      <c r="AK145" s="1"/>
      <c r="AL145" s="1"/>
      <c r="AM145" s="1"/>
      <c r="AN145" s="1"/>
      <c r="AO145" s="1"/>
      <c r="AP145" s="1"/>
      <c r="AQ145" s="1"/>
      <c r="AR145" s="1"/>
    </row>
    <row r="146" spans="2:44" x14ac:dyDescent="0.2">
      <c r="B146" s="435"/>
      <c r="C146" s="491" t="str">
        <f>IF(B146&lt;=0,"",VLOOKUP(B146,Treatments!$C$7:$J$407,2))</f>
        <v/>
      </c>
      <c r="D146" s="492"/>
      <c r="E146" s="433">
        <f>VLOOKUP(B146,Treatments!$C$7:$J$407,8)</f>
        <v>0</v>
      </c>
      <c r="F146" s="435"/>
      <c r="G146" s="493"/>
      <c r="H146" s="433">
        <f t="shared" si="84"/>
        <v>0</v>
      </c>
      <c r="I146" s="411">
        <f t="shared" si="89"/>
        <v>0</v>
      </c>
      <c r="L146" s="1"/>
      <c r="M146" s="1"/>
      <c r="N146" s="1"/>
      <c r="O146" s="1"/>
      <c r="P146" s="1"/>
      <c r="Q146" s="1"/>
      <c r="R146" s="1"/>
      <c r="S146" s="1"/>
      <c r="T146" s="1"/>
      <c r="U146" s="1"/>
      <c r="Y146" s="447">
        <f t="shared" si="85"/>
        <v>0</v>
      </c>
      <c r="Z146" s="491" t="str">
        <f>VLOOKUP(Y146,Treatments!$C$7:$J$407,2)</f>
        <v>No treatment</v>
      </c>
      <c r="AA146" s="495">
        <f t="shared" si="90"/>
        <v>0</v>
      </c>
      <c r="AB146" s="433">
        <f>VLOOKUP(Y146,Treatments!$C$7:$J$407,8)</f>
        <v>0</v>
      </c>
      <c r="AC146" s="495">
        <f t="shared" si="91"/>
        <v>0</v>
      </c>
      <c r="AD146" s="496">
        <f t="shared" si="86"/>
        <v>0</v>
      </c>
      <c r="AE146" s="433">
        <f t="shared" si="87"/>
        <v>0</v>
      </c>
      <c r="AF146" s="411">
        <f t="shared" si="88"/>
        <v>0</v>
      </c>
      <c r="AI146" s="1"/>
      <c r="AJ146" s="1"/>
      <c r="AK146" s="1"/>
      <c r="AL146" s="1"/>
      <c r="AM146" s="1"/>
      <c r="AN146" s="1"/>
      <c r="AO146" s="1"/>
      <c r="AP146" s="1"/>
      <c r="AQ146" s="1"/>
      <c r="AR146" s="1"/>
    </row>
    <row r="147" spans="2:44" x14ac:dyDescent="0.2">
      <c r="B147" s="1"/>
      <c r="C147" s="1" t="s">
        <v>586</v>
      </c>
      <c r="D147" s="492">
        <v>1</v>
      </c>
      <c r="E147" s="433">
        <f>S143</f>
        <v>26.878740270093957</v>
      </c>
      <c r="F147" s="435">
        <v>1</v>
      </c>
      <c r="G147" s="493">
        <v>1</v>
      </c>
      <c r="H147" s="433">
        <f t="shared" si="84"/>
        <v>26.878740270093957</v>
      </c>
      <c r="I147" s="411">
        <f t="shared" si="89"/>
        <v>2687.8740270093958</v>
      </c>
      <c r="L147" s="1"/>
      <c r="M147" s="1"/>
      <c r="N147" s="1"/>
      <c r="O147" s="1"/>
      <c r="P147" s="1"/>
      <c r="Q147" s="1"/>
      <c r="R147" s="1"/>
      <c r="S147" s="1"/>
      <c r="T147" s="1"/>
      <c r="U147" s="1"/>
      <c r="Y147" s="1"/>
      <c r="Z147" s="1" t="s">
        <v>586</v>
      </c>
      <c r="AA147" s="495">
        <f t="shared" si="90"/>
        <v>1</v>
      </c>
      <c r="AB147" s="433">
        <f>AP143</f>
        <v>30.71485629521181</v>
      </c>
      <c r="AC147" s="495">
        <f t="shared" si="91"/>
        <v>1</v>
      </c>
      <c r="AD147" s="496">
        <f t="shared" si="86"/>
        <v>1</v>
      </c>
      <c r="AE147" s="433">
        <f t="shared" si="87"/>
        <v>30.71485629521181</v>
      </c>
      <c r="AF147" s="411">
        <f t="shared" si="88"/>
        <v>3071.4856295211812</v>
      </c>
      <c r="AI147" s="1"/>
      <c r="AJ147" s="1"/>
      <c r="AK147" s="1"/>
      <c r="AL147" s="1"/>
      <c r="AM147" s="1"/>
      <c r="AN147" s="1"/>
      <c r="AO147" s="1"/>
      <c r="AP147" s="1"/>
      <c r="AQ147" s="1"/>
      <c r="AR147" s="1"/>
    </row>
    <row r="148" spans="2:44" ht="15.75" x14ac:dyDescent="0.25">
      <c r="B148" s="515"/>
      <c r="C148" s="515"/>
      <c r="D148" s="515"/>
      <c r="E148" s="516"/>
      <c r="F148" s="517" t="s">
        <v>796</v>
      </c>
      <c r="G148" s="515"/>
      <c r="H148" s="510">
        <f>SUM(H110:H147)</f>
        <v>41.629740270093961</v>
      </c>
      <c r="I148" s="510">
        <f>SUM(I110:I147)</f>
        <v>4162.9740270093962</v>
      </c>
      <c r="L148" s="1" t="s">
        <v>791</v>
      </c>
      <c r="M148" s="1"/>
      <c r="N148" s="1"/>
      <c r="O148" s="1"/>
      <c r="P148" s="1"/>
      <c r="Q148" s="1"/>
      <c r="R148" s="1"/>
      <c r="S148" s="1"/>
      <c r="T148" s="1"/>
      <c r="U148" s="1"/>
      <c r="Y148" s="515"/>
      <c r="Z148" s="515"/>
      <c r="AA148" s="518"/>
      <c r="AB148" s="516"/>
      <c r="AC148" s="518" t="s">
        <v>796</v>
      </c>
      <c r="AD148" s="518"/>
      <c r="AE148" s="510">
        <f>SUM(AE110:AE147)</f>
        <v>45.465856295211807</v>
      </c>
      <c r="AF148" s="510">
        <f>SUM(AF110:AF147)</f>
        <v>4546.5856295211815</v>
      </c>
      <c r="AI148" s="1"/>
      <c r="AJ148" s="1"/>
      <c r="AK148" s="1"/>
      <c r="AL148" s="1"/>
      <c r="AM148" s="1"/>
      <c r="AN148" s="1"/>
      <c r="AO148" s="1"/>
      <c r="AP148" s="1"/>
      <c r="AQ148" s="1"/>
      <c r="AR148" s="1"/>
    </row>
    <row r="149" spans="2:44" x14ac:dyDescent="0.2">
      <c r="B149" s="515"/>
      <c r="D149" s="515"/>
      <c r="E149" s="516"/>
      <c r="F149" s="515"/>
      <c r="G149" s="515"/>
      <c r="H149" s="515"/>
      <c r="L149" s="1" t="s">
        <v>790</v>
      </c>
      <c r="M149" s="1"/>
      <c r="N149" s="1"/>
      <c r="O149" s="1"/>
      <c r="P149" s="1"/>
      <c r="Q149" s="1"/>
      <c r="R149" s="1"/>
      <c r="S149" s="1"/>
      <c r="T149" s="1"/>
      <c r="U149" s="1"/>
    </row>
    <row r="150" spans="2:44" x14ac:dyDescent="0.2">
      <c r="D150" s="515"/>
      <c r="E150" s="516"/>
      <c r="F150" s="515"/>
      <c r="G150" s="515"/>
      <c r="H150" s="515"/>
      <c r="L150" s="1"/>
      <c r="M150" s="1"/>
      <c r="N150" s="1"/>
      <c r="O150" s="1"/>
      <c r="P150" s="1"/>
      <c r="Q150" s="1"/>
      <c r="R150" s="1"/>
      <c r="S150" s="1"/>
      <c r="T150" s="1"/>
      <c r="U150" s="1"/>
    </row>
    <row r="151" spans="2:44" x14ac:dyDescent="0.2">
      <c r="B151"/>
      <c r="C151"/>
      <c r="D151"/>
      <c r="E151" s="516"/>
      <c r="F151" s="515"/>
      <c r="G151" s="515"/>
      <c r="H151" s="515"/>
      <c r="L151" s="1" t="s">
        <v>394</v>
      </c>
      <c r="M151" s="1"/>
      <c r="N151" s="1"/>
      <c r="O151" s="1"/>
      <c r="P151" s="1"/>
      <c r="Q151" s="1"/>
      <c r="R151" s="1"/>
      <c r="S151" s="1"/>
      <c r="T151" s="1"/>
      <c r="U151" s="1"/>
    </row>
    <row r="152" spans="2:44" x14ac:dyDescent="0.2">
      <c r="H152" s="515"/>
      <c r="L152" s="1"/>
      <c r="M152" s="1"/>
      <c r="N152" s="1"/>
      <c r="O152" s="1"/>
      <c r="P152" s="1"/>
      <c r="Q152" s="1"/>
      <c r="R152" s="1"/>
      <c r="S152" s="1"/>
      <c r="T152" s="1"/>
      <c r="U152" s="1"/>
    </row>
    <row r="153" spans="2:44" ht="15.75" x14ac:dyDescent="0.25">
      <c r="B153" s="551" t="s">
        <v>897</v>
      </c>
      <c r="C153" s="552"/>
      <c r="G153" s="551" t="s">
        <v>897</v>
      </c>
      <c r="H153" s="552"/>
      <c r="L153" s="1" t="s">
        <v>793</v>
      </c>
      <c r="M153" s="1"/>
      <c r="N153" s="1"/>
      <c r="O153" s="1"/>
      <c r="P153" s="1"/>
      <c r="Q153" s="1"/>
      <c r="R153" s="1"/>
      <c r="S153" s="1"/>
      <c r="T153" s="1"/>
      <c r="U153" s="1"/>
    </row>
    <row r="154" spans="2:44" ht="15.75" x14ac:dyDescent="0.25">
      <c r="B154" s="553" t="s">
        <v>400</v>
      </c>
      <c r="C154" s="555"/>
      <c r="D154" s="554" t="s">
        <v>993</v>
      </c>
      <c r="E154" s="554" t="s">
        <v>904</v>
      </c>
      <c r="G154" s="553" t="s">
        <v>393</v>
      </c>
      <c r="H154" s="555"/>
      <c r="I154" s="554" t="s">
        <v>993</v>
      </c>
      <c r="J154" s="554" t="s">
        <v>904</v>
      </c>
      <c r="L154" s="1" t="s">
        <v>798</v>
      </c>
      <c r="M154" s="1"/>
      <c r="N154" s="1"/>
      <c r="O154" s="1"/>
      <c r="P154" s="1"/>
      <c r="Q154" s="1"/>
      <c r="R154" s="1"/>
      <c r="S154" s="1"/>
      <c r="T154" s="1"/>
    </row>
    <row r="155" spans="2:44" ht="15.75" x14ac:dyDescent="0.25">
      <c r="B155" s="454" t="s">
        <v>898</v>
      </c>
      <c r="C155" s="519"/>
      <c r="D155" s="455">
        <f>L60</f>
        <v>49611.993599999994</v>
      </c>
      <c r="E155" s="455">
        <f>D155/$D$8</f>
        <v>496.11993599999994</v>
      </c>
      <c r="F155" s="515"/>
      <c r="G155" s="456" t="s">
        <v>898</v>
      </c>
      <c r="H155" s="456"/>
      <c r="I155" s="457">
        <f t="shared" ref="I155:J160" si="92">D155</f>
        <v>49611.993599999994</v>
      </c>
      <c r="J155" s="457">
        <f t="shared" si="92"/>
        <v>496.11993599999994</v>
      </c>
      <c r="L155" s="1" t="s">
        <v>799</v>
      </c>
      <c r="M155" s="1"/>
      <c r="N155" s="1"/>
      <c r="O155" s="1"/>
      <c r="P155" s="1"/>
      <c r="Q155" s="1"/>
      <c r="R155" s="1"/>
      <c r="S155" s="1"/>
      <c r="T155" s="1"/>
    </row>
    <row r="156" spans="2:44" ht="15.75" x14ac:dyDescent="0.25">
      <c r="B156" s="458" t="s">
        <v>797</v>
      </c>
      <c r="C156" s="459"/>
      <c r="D156" s="460">
        <f>H22</f>
        <v>30712.948800000006</v>
      </c>
      <c r="E156" s="460">
        <f t="shared" ref="E156:E162" si="93">D156/$D$8</f>
        <v>307.12948800000004</v>
      </c>
      <c r="F156" s="515"/>
      <c r="G156" s="458" t="s">
        <v>797</v>
      </c>
      <c r="H156" s="458"/>
      <c r="I156" s="460">
        <f t="shared" si="92"/>
        <v>30712.948800000006</v>
      </c>
      <c r="J156" s="461">
        <f t="shared" si="92"/>
        <v>307.12948800000004</v>
      </c>
      <c r="L156" s="520"/>
    </row>
    <row r="157" spans="2:44" ht="15.75" x14ac:dyDescent="0.25">
      <c r="B157" s="462" t="s">
        <v>399</v>
      </c>
      <c r="C157" s="463"/>
      <c r="D157" s="464">
        <f>H35+J35+L35</f>
        <v>643.26790178571423</v>
      </c>
      <c r="E157" s="464">
        <f t="shared" si="93"/>
        <v>6.4326790178571427</v>
      </c>
      <c r="F157" s="515"/>
      <c r="G157" s="462" t="s">
        <v>899</v>
      </c>
      <c r="H157" s="462"/>
      <c r="I157" s="465">
        <f t="shared" si="92"/>
        <v>643.26790178571423</v>
      </c>
      <c r="J157" s="466">
        <f t="shared" si="92"/>
        <v>6.4326790178571427</v>
      </c>
      <c r="M157" s="520"/>
    </row>
    <row r="158" spans="2:44" ht="15.75" x14ac:dyDescent="0.25">
      <c r="B158" s="467" t="s">
        <v>880</v>
      </c>
      <c r="C158" s="463"/>
      <c r="D158" s="464">
        <f>L75</f>
        <v>2000.7498749999995</v>
      </c>
      <c r="E158" s="464">
        <f t="shared" si="93"/>
        <v>20.007498749999996</v>
      </c>
      <c r="F158" s="515"/>
      <c r="G158" s="467" t="s">
        <v>880</v>
      </c>
      <c r="H158" s="467"/>
      <c r="I158" s="465">
        <f t="shared" si="92"/>
        <v>2000.7498749999995</v>
      </c>
      <c r="J158" s="466">
        <f t="shared" si="92"/>
        <v>20.007498749999996</v>
      </c>
    </row>
    <row r="159" spans="2:44" ht="15.75" x14ac:dyDescent="0.25">
      <c r="B159" s="467" t="s">
        <v>881</v>
      </c>
      <c r="C159" s="463"/>
      <c r="D159" s="464">
        <f>M47</f>
        <v>125.56274999999998</v>
      </c>
      <c r="E159" s="464">
        <f t="shared" si="93"/>
        <v>1.2556274999999999</v>
      </c>
      <c r="G159" s="467" t="s">
        <v>881</v>
      </c>
      <c r="H159" s="467"/>
      <c r="I159" s="465">
        <f t="shared" si="92"/>
        <v>125.56274999999998</v>
      </c>
      <c r="J159" s="466">
        <f t="shared" si="92"/>
        <v>1.2556274999999999</v>
      </c>
    </row>
    <row r="160" spans="2:44" ht="15.75" x14ac:dyDescent="0.25">
      <c r="B160" s="467" t="s">
        <v>872</v>
      </c>
      <c r="C160" s="463"/>
      <c r="D160" s="464">
        <f>D75+H75</f>
        <v>250.125</v>
      </c>
      <c r="E160" s="464">
        <f t="shared" si="93"/>
        <v>2.5012500000000002</v>
      </c>
      <c r="F160" s="515"/>
      <c r="G160" s="467" t="s">
        <v>872</v>
      </c>
      <c r="H160" s="467"/>
      <c r="I160" s="465">
        <f t="shared" si="92"/>
        <v>250.125</v>
      </c>
      <c r="J160" s="466">
        <f t="shared" si="92"/>
        <v>2.5012500000000002</v>
      </c>
    </row>
    <row r="161" spans="2:13" ht="15.75" x14ac:dyDescent="0.25">
      <c r="B161" s="468" t="s">
        <v>755</v>
      </c>
      <c r="C161" s="469"/>
      <c r="D161" s="470">
        <f>I148</f>
        <v>4162.9740270093962</v>
      </c>
      <c r="E161" s="470">
        <f t="shared" si="93"/>
        <v>41.629740270093961</v>
      </c>
      <c r="F161" s="515"/>
      <c r="G161" s="468" t="s">
        <v>754</v>
      </c>
      <c r="H161" s="468"/>
      <c r="I161" s="465">
        <f>AF148</f>
        <v>4546.5856295211815</v>
      </c>
      <c r="J161" s="466">
        <f>I161/$D$8</f>
        <v>45.465856295211815</v>
      </c>
    </row>
    <row r="162" spans="2:13" ht="15.75" x14ac:dyDescent="0.25">
      <c r="B162" s="471" t="s">
        <v>900</v>
      </c>
      <c r="C162" s="521"/>
      <c r="D162" s="472">
        <f>SUM(D156:D161)</f>
        <v>37895.628353795117</v>
      </c>
      <c r="E162" s="472">
        <f t="shared" si="93"/>
        <v>378.95628353795115</v>
      </c>
      <c r="F162" s="515"/>
      <c r="G162" s="471" t="s">
        <v>900</v>
      </c>
      <c r="H162" s="471"/>
      <c r="I162" s="472">
        <f>SUM(I156:I161)</f>
        <v>38279.239956306905</v>
      </c>
      <c r="J162" s="472">
        <f>I162/D8</f>
        <v>382.79239956306907</v>
      </c>
    </row>
    <row r="163" spans="2:13" x14ac:dyDescent="0.2">
      <c r="B163" s="427"/>
      <c r="C163" s="427"/>
      <c r="D163" s="427"/>
      <c r="E163" s="427"/>
      <c r="G163" s="427"/>
      <c r="H163" s="427"/>
      <c r="I163" s="427"/>
      <c r="J163" s="427"/>
    </row>
    <row r="164" spans="2:13" ht="15.75" x14ac:dyDescent="0.25">
      <c r="B164" s="473" t="s">
        <v>901</v>
      </c>
      <c r="C164" s="522"/>
      <c r="D164" s="474">
        <f>D155-D162</f>
        <v>11716.365246204878</v>
      </c>
      <c r="E164" s="474">
        <f>D164/D8</f>
        <v>117.16365246204877</v>
      </c>
      <c r="G164" s="473" t="s">
        <v>901</v>
      </c>
      <c r="H164" s="473"/>
      <c r="I164" s="474">
        <f>I155-I162</f>
        <v>11332.75364369309</v>
      </c>
      <c r="J164" s="474">
        <f>I164/$D$8</f>
        <v>113.3275364369309</v>
      </c>
      <c r="K164" s="523"/>
    </row>
    <row r="165" spans="2:13" ht="15.75" x14ac:dyDescent="0.25">
      <c r="B165" s="473" t="s">
        <v>737</v>
      </c>
      <c r="C165" s="475"/>
      <c r="D165" s="474">
        <f>H88</f>
        <v>992.32275396822183</v>
      </c>
      <c r="E165" s="474">
        <f>D165/D8</f>
        <v>9.9232275396822178</v>
      </c>
      <c r="F165" s="515"/>
      <c r="G165" s="473" t="s">
        <v>737</v>
      </c>
      <c r="H165" s="475"/>
      <c r="I165" s="474">
        <f>H88</f>
        <v>992.32275396822183</v>
      </c>
      <c r="J165" s="515"/>
    </row>
    <row r="166" spans="2:13" ht="15.75" x14ac:dyDescent="0.25">
      <c r="B166" s="473" t="s">
        <v>675</v>
      </c>
      <c r="C166" s="522"/>
      <c r="D166" s="474">
        <f>D164-D165</f>
        <v>10724.042492236656</v>
      </c>
      <c r="E166" s="474">
        <f>D166/$D$8</f>
        <v>107.24042492236657</v>
      </c>
      <c r="F166" s="515"/>
      <c r="G166" s="473" t="s">
        <v>902</v>
      </c>
      <c r="H166" s="473"/>
      <c r="I166" s="474">
        <f>I164-I165</f>
        <v>10340.430889724868</v>
      </c>
      <c r="J166" s="474">
        <f>I166/$D$8</f>
        <v>103.40430889724868</v>
      </c>
    </row>
    <row r="167" spans="2:13" ht="15.75" x14ac:dyDescent="0.25">
      <c r="B167" s="473" t="s">
        <v>739</v>
      </c>
      <c r="C167" s="522"/>
      <c r="D167" s="522"/>
      <c r="E167" s="476">
        <f>(E60-F22)/$D$8</f>
        <v>106.19306999999998</v>
      </c>
      <c r="F167" s="515"/>
      <c r="J167" s="515"/>
    </row>
    <row r="168" spans="2:13" x14ac:dyDescent="0.2">
      <c r="F168" s="515"/>
      <c r="J168" s="524"/>
    </row>
    <row r="169" spans="2:13" x14ac:dyDescent="0.2">
      <c r="F169" s="515"/>
      <c r="I169" s="515"/>
      <c r="J169" s="515"/>
    </row>
    <row r="170" spans="2:13" x14ac:dyDescent="0.2">
      <c r="B170" s="1"/>
      <c r="C170" s="1"/>
      <c r="D170" s="1"/>
      <c r="E170" s="524"/>
      <c r="F170" s="515"/>
      <c r="G170" s="1"/>
      <c r="H170" s="1"/>
      <c r="I170" s="1"/>
      <c r="J170" s="524"/>
    </row>
    <row r="171" spans="2:13" x14ac:dyDescent="0.2">
      <c r="G171" s="1"/>
      <c r="H171" s="1"/>
      <c r="I171" s="1"/>
      <c r="J171" s="515"/>
    </row>
    <row r="172" spans="2:13" ht="15.75" thickBot="1" x14ac:dyDescent="0.25">
      <c r="B172" s="1"/>
      <c r="C172" s="1"/>
      <c r="D172" s="1"/>
      <c r="E172" s="524"/>
      <c r="G172" s="1"/>
      <c r="H172" s="1"/>
      <c r="I172" s="1"/>
      <c r="J172" s="524"/>
    </row>
    <row r="173" spans="2:13" ht="16.5" thickBot="1" x14ac:dyDescent="0.3">
      <c r="B173" s="1"/>
      <c r="C173" s="525" t="s">
        <v>667</v>
      </c>
      <c r="D173" s="526" t="s">
        <v>668</v>
      </c>
      <c r="E173" s="1"/>
      <c r="G173" s="527"/>
      <c r="H173" s="528" t="s">
        <v>760</v>
      </c>
      <c r="I173" s="529"/>
      <c r="J173" s="530"/>
      <c r="K173" s="528" t="s">
        <v>761</v>
      </c>
      <c r="L173" s="529"/>
      <c r="M173" s="530"/>
    </row>
    <row r="174" spans="2:13" ht="15.75" x14ac:dyDescent="0.2">
      <c r="B174" s="1"/>
      <c r="C174" s="74" t="s">
        <v>661</v>
      </c>
      <c r="D174" s="495">
        <f>H100</f>
        <v>34.451485034976898</v>
      </c>
      <c r="E174" s="1"/>
      <c r="G174" s="531"/>
      <c r="H174" s="532" t="s">
        <v>762</v>
      </c>
      <c r="I174" s="532" t="s">
        <v>763</v>
      </c>
      <c r="J174" s="532" t="s">
        <v>764</v>
      </c>
      <c r="K174" s="532" t="s">
        <v>765</v>
      </c>
      <c r="L174" s="532" t="s">
        <v>766</v>
      </c>
      <c r="M174" s="532" t="s">
        <v>767</v>
      </c>
    </row>
    <row r="175" spans="2:13" ht="16.5" thickBot="1" x14ac:dyDescent="0.25">
      <c r="C175" s="74" t="s">
        <v>669</v>
      </c>
      <c r="D175" s="435">
        <v>3650</v>
      </c>
      <c r="E175" s="1" t="s">
        <v>803</v>
      </c>
      <c r="G175" s="533" t="s">
        <v>768</v>
      </c>
      <c r="H175" s="534">
        <v>1000</v>
      </c>
      <c r="I175" s="534">
        <v>1000</v>
      </c>
      <c r="J175" s="534">
        <v>1000</v>
      </c>
      <c r="K175" s="534">
        <v>1000</v>
      </c>
      <c r="L175" s="534">
        <v>1000</v>
      </c>
      <c r="M175" s="534">
        <v>1000</v>
      </c>
    </row>
    <row r="176" spans="2:13" ht="16.5" thickBot="1" x14ac:dyDescent="0.25">
      <c r="C176" s="74" t="s">
        <v>670</v>
      </c>
      <c r="D176" s="409">
        <f>D175*D174</f>
        <v>125747.92037766568</v>
      </c>
      <c r="E176" s="1" t="s">
        <v>666</v>
      </c>
      <c r="G176" s="535" t="s">
        <v>769</v>
      </c>
      <c r="H176" s="536">
        <v>0.4</v>
      </c>
      <c r="I176" s="537">
        <v>0.3</v>
      </c>
      <c r="J176" s="538">
        <v>0.4</v>
      </c>
      <c r="K176" s="539">
        <v>0.3</v>
      </c>
      <c r="L176" s="538">
        <v>0.3</v>
      </c>
      <c r="M176" s="540">
        <v>0.3</v>
      </c>
    </row>
    <row r="177" spans="2:14" x14ac:dyDescent="0.2">
      <c r="B177" s="1"/>
      <c r="C177" s="541" t="s">
        <v>671</v>
      </c>
      <c r="D177" s="452">
        <v>0.35</v>
      </c>
      <c r="E177" s="1"/>
      <c r="G177" s="1"/>
      <c r="H177" s="1"/>
      <c r="I177" s="1"/>
      <c r="J177" s="1"/>
      <c r="K177" s="1"/>
      <c r="L177" s="1"/>
      <c r="M177" s="1"/>
    </row>
    <row r="178" spans="2:14" x14ac:dyDescent="0.2">
      <c r="B178" s="1"/>
      <c r="C178" s="541" t="s">
        <v>662</v>
      </c>
      <c r="D178" s="409">
        <f>D176*1/D177</f>
        <v>359279.77250761626</v>
      </c>
      <c r="E178" s="1" t="s">
        <v>666</v>
      </c>
      <c r="N178" s="1"/>
    </row>
    <row r="179" spans="2:14" x14ac:dyDescent="0.2">
      <c r="B179" s="1"/>
      <c r="C179" s="74" t="s">
        <v>672</v>
      </c>
      <c r="D179" s="409">
        <f>D8</f>
        <v>100</v>
      </c>
      <c r="E179" s="1" t="s">
        <v>1000</v>
      </c>
      <c r="N179" s="1"/>
    </row>
    <row r="180" spans="2:14" x14ac:dyDescent="0.2">
      <c r="B180" s="1"/>
      <c r="C180" s="74" t="s">
        <v>663</v>
      </c>
      <c r="D180" s="409">
        <f>D178/D179</f>
        <v>3592.7977250761628</v>
      </c>
      <c r="E180" s="1" t="s">
        <v>802</v>
      </c>
      <c r="N180" s="1"/>
    </row>
    <row r="181" spans="2:14" x14ac:dyDescent="0.2">
      <c r="B181" s="1"/>
      <c r="C181" s="74" t="s">
        <v>664</v>
      </c>
      <c r="D181" s="435">
        <v>1000</v>
      </c>
      <c r="E181" s="1" t="s">
        <v>802</v>
      </c>
      <c r="N181" s="1"/>
    </row>
    <row r="182" spans="2:14" x14ac:dyDescent="0.2">
      <c r="B182" s="1"/>
      <c r="C182" s="74" t="s">
        <v>665</v>
      </c>
      <c r="D182" s="409">
        <f>D181+D180</f>
        <v>4592.7977250761633</v>
      </c>
      <c r="E182" s="1" t="s">
        <v>802</v>
      </c>
      <c r="N182" s="1"/>
    </row>
    <row r="183" spans="2:14" x14ac:dyDescent="0.2">
      <c r="B183" s="1"/>
      <c r="C183" s="542"/>
      <c r="D183" s="543"/>
      <c r="E183" s="1"/>
      <c r="N183" s="1"/>
    </row>
    <row r="184" spans="2:14" x14ac:dyDescent="0.2">
      <c r="B184" s="1"/>
      <c r="C184" s="1"/>
      <c r="D184" s="1"/>
      <c r="E184" s="1"/>
      <c r="F184" s="1"/>
      <c r="G184" s="1"/>
      <c r="H184" s="1"/>
      <c r="I184" s="1"/>
      <c r="J184" s="1"/>
      <c r="K184" s="1"/>
      <c r="L184" s="1"/>
      <c r="M184" s="1"/>
      <c r="N184" s="1"/>
    </row>
    <row r="185" spans="2:14" x14ac:dyDescent="0.2">
      <c r="B185" s="1"/>
      <c r="C185" s="1"/>
      <c r="D185" s="1"/>
      <c r="E185" s="1"/>
      <c r="F185" s="1"/>
      <c r="G185" s="1"/>
      <c r="H185" s="1"/>
      <c r="I185" s="1"/>
      <c r="J185" s="1"/>
      <c r="K185" s="1"/>
      <c r="L185" s="1"/>
      <c r="M185" s="1"/>
      <c r="N185" s="1"/>
    </row>
    <row r="186" spans="2:14" x14ac:dyDescent="0.2">
      <c r="B186" s="1"/>
      <c r="C186" s="1"/>
      <c r="D186" s="1"/>
      <c r="E186" s="1"/>
      <c r="F186" s="1"/>
      <c r="G186" s="1"/>
      <c r="H186" s="1"/>
      <c r="I186" s="1"/>
      <c r="J186" s="1"/>
      <c r="K186" s="1"/>
      <c r="L186" s="1"/>
      <c r="M186" s="1"/>
      <c r="N186" s="1"/>
    </row>
    <row r="187" spans="2:14" x14ac:dyDescent="0.2">
      <c r="B187" s="1"/>
      <c r="C187" s="1"/>
      <c r="D187" s="1"/>
      <c r="E187" s="1"/>
      <c r="F187" s="1"/>
      <c r="G187" s="1"/>
      <c r="H187" s="1"/>
      <c r="I187" s="1"/>
      <c r="J187" s="1"/>
      <c r="K187" s="1"/>
      <c r="L187" s="1"/>
      <c r="M187" s="1"/>
      <c r="N187" s="1"/>
    </row>
    <row r="188" spans="2:14" x14ac:dyDescent="0.2">
      <c r="B188" s="1"/>
      <c r="C188" s="1"/>
      <c r="D188" s="1"/>
      <c r="E188" s="1"/>
      <c r="F188" s="1"/>
      <c r="G188" s="1"/>
      <c r="H188" s="1"/>
      <c r="I188" s="1"/>
      <c r="J188" s="1"/>
      <c r="K188" s="1"/>
      <c r="L188" s="1"/>
      <c r="M188" s="1"/>
      <c r="N188" s="1"/>
    </row>
    <row r="189" spans="2:14" x14ac:dyDescent="0.2">
      <c r="B189" s="1"/>
      <c r="C189" s="1"/>
      <c r="D189" s="1"/>
      <c r="E189" s="1"/>
      <c r="F189" s="1"/>
      <c r="G189" s="1"/>
      <c r="H189" s="1"/>
      <c r="I189" s="1"/>
      <c r="J189" s="1"/>
      <c r="K189" s="1"/>
      <c r="L189" s="1"/>
      <c r="M189" s="1"/>
      <c r="N189" s="1"/>
    </row>
    <row r="190" spans="2:14" x14ac:dyDescent="0.2">
      <c r="B190" s="1"/>
      <c r="C190" s="1"/>
      <c r="D190" s="1"/>
      <c r="E190" s="1"/>
      <c r="F190" s="1"/>
      <c r="G190" s="1"/>
      <c r="H190" s="1"/>
      <c r="I190" s="1"/>
      <c r="J190" s="1"/>
      <c r="K190" s="1"/>
      <c r="L190" s="1"/>
      <c r="M190" s="1"/>
      <c r="N190" s="1"/>
    </row>
    <row r="191" spans="2:14" x14ac:dyDescent="0.2">
      <c r="B191" s="1"/>
      <c r="C191" s="1"/>
      <c r="D191" s="1"/>
      <c r="E191" s="1"/>
      <c r="F191" s="1"/>
      <c r="G191" s="1"/>
      <c r="H191" s="1"/>
      <c r="I191" s="1"/>
      <c r="J191" s="1"/>
      <c r="K191" s="1"/>
      <c r="L191" s="1"/>
      <c r="M191" s="1"/>
      <c r="N191" s="1"/>
    </row>
    <row r="192" spans="2:14" x14ac:dyDescent="0.2">
      <c r="B192" s="1"/>
      <c r="C192" s="1"/>
      <c r="D192" s="1"/>
      <c r="E192" s="1"/>
      <c r="F192" s="1"/>
      <c r="G192" s="1"/>
      <c r="H192" s="1"/>
      <c r="I192" s="1"/>
      <c r="J192" s="1"/>
      <c r="K192" s="1"/>
    </row>
    <row r="193" spans="2:11" x14ac:dyDescent="0.2">
      <c r="B193" s="1"/>
      <c r="C193" s="1"/>
      <c r="D193" s="1"/>
      <c r="E193" s="1"/>
      <c r="F193" s="1"/>
      <c r="G193" s="1"/>
      <c r="H193" s="1"/>
      <c r="I193" s="1"/>
      <c r="J193" s="1"/>
      <c r="K193" s="1"/>
    </row>
    <row r="194" spans="2:11" x14ac:dyDescent="0.2">
      <c r="C194" s="1"/>
      <c r="D194" s="1"/>
      <c r="E194" s="1"/>
      <c r="F194" s="1"/>
      <c r="G194" s="1"/>
      <c r="H194" s="1"/>
      <c r="I194" s="1"/>
      <c r="J194" s="1"/>
      <c r="K194" s="1"/>
    </row>
    <row r="195" spans="2:11" x14ac:dyDescent="0.2">
      <c r="E195" s="1"/>
      <c r="F195" s="1"/>
      <c r="G195" s="1"/>
      <c r="H195" s="1"/>
      <c r="I195" s="1"/>
      <c r="J195" s="1"/>
      <c r="K195" s="1"/>
    </row>
    <row r="196" spans="2:11" x14ac:dyDescent="0.2">
      <c r="E196" s="1"/>
      <c r="F196" s="1"/>
      <c r="G196" s="1"/>
      <c r="H196" s="1"/>
      <c r="I196" s="1"/>
      <c r="J196" s="1"/>
      <c r="K196" s="1"/>
    </row>
    <row r="197" spans="2:11" x14ac:dyDescent="0.2">
      <c r="E197" s="1"/>
      <c r="F197" s="1"/>
      <c r="G197" s="1"/>
      <c r="H197" s="1"/>
      <c r="I197" s="1"/>
      <c r="J197" s="1"/>
      <c r="K197" s="1"/>
    </row>
    <row r="198" spans="2:11" x14ac:dyDescent="0.2">
      <c r="E198" s="1"/>
      <c r="F198" s="1"/>
      <c r="G198" s="1"/>
      <c r="H198" s="1"/>
      <c r="I198" s="1"/>
      <c r="J198" s="1"/>
      <c r="K198" s="1"/>
    </row>
    <row r="199" spans="2:11" x14ac:dyDescent="0.2">
      <c r="E199" s="1"/>
      <c r="F199" s="1"/>
      <c r="G199" s="1"/>
      <c r="H199" s="1"/>
      <c r="I199" s="1"/>
      <c r="J199" s="1"/>
      <c r="K199" s="1"/>
    </row>
    <row r="200" spans="2:11" x14ac:dyDescent="0.2">
      <c r="E200" s="1"/>
      <c r="F200" s="1"/>
      <c r="G200" s="1"/>
      <c r="H200" s="1"/>
      <c r="I200" s="1"/>
      <c r="J200" s="1"/>
      <c r="K200" s="1"/>
    </row>
    <row r="201" spans="2:11" x14ac:dyDescent="0.2">
      <c r="E201" s="1"/>
      <c r="F201" s="1"/>
      <c r="G201" s="1"/>
      <c r="H201" s="1"/>
      <c r="I201" s="1"/>
      <c r="J201" s="1"/>
      <c r="K201" s="1"/>
    </row>
    <row r="202" spans="2:11" x14ac:dyDescent="0.2">
      <c r="E202" s="1"/>
      <c r="F202" s="1"/>
      <c r="G202" s="1"/>
      <c r="H202" s="1"/>
      <c r="I202" s="1"/>
      <c r="J202" s="1"/>
      <c r="K202" s="1"/>
    </row>
    <row r="203" spans="2:11" x14ac:dyDescent="0.2">
      <c r="E203" s="1"/>
      <c r="F203" s="1"/>
      <c r="G203" s="1"/>
      <c r="H203" s="1"/>
      <c r="I203" s="1"/>
      <c r="J203" s="1"/>
      <c r="K203" s="1"/>
    </row>
    <row r="204" spans="2:11" x14ac:dyDescent="0.2">
      <c r="E204" s="1"/>
      <c r="F204" s="1"/>
      <c r="G204" s="1"/>
      <c r="H204" s="1"/>
      <c r="I204" s="1"/>
      <c r="J204" s="1"/>
      <c r="K204" s="1"/>
    </row>
    <row r="205" spans="2:11" x14ac:dyDescent="0.2">
      <c r="B205" s="1"/>
      <c r="C205" s="1"/>
      <c r="D205" s="1"/>
      <c r="E205" s="1"/>
      <c r="F205" s="1"/>
      <c r="G205" s="1"/>
      <c r="H205" s="1"/>
      <c r="I205" s="1"/>
      <c r="J205" s="1"/>
      <c r="K205" s="1"/>
    </row>
    <row r="206" spans="2:11" x14ac:dyDescent="0.2">
      <c r="B206" s="1"/>
      <c r="C206" s="1"/>
      <c r="D206" s="1"/>
      <c r="E206" s="1"/>
      <c r="F206" s="1"/>
      <c r="G206" s="1"/>
      <c r="H206" s="1"/>
      <c r="I206" s="1"/>
      <c r="J206" s="1"/>
      <c r="K206" s="1"/>
    </row>
    <row r="207" spans="2:11" x14ac:dyDescent="0.2">
      <c r="B207" s="1"/>
      <c r="C207" s="1"/>
      <c r="D207" s="1"/>
      <c r="E207" s="1"/>
      <c r="F207" s="1"/>
      <c r="G207" s="1"/>
      <c r="H207" s="1"/>
      <c r="I207" s="1"/>
      <c r="J207" s="1"/>
      <c r="K207" s="1"/>
    </row>
    <row r="208" spans="2:11" x14ac:dyDescent="0.2">
      <c r="B208" s="1"/>
      <c r="C208" s="1"/>
      <c r="D208" s="1"/>
      <c r="E208" s="1"/>
      <c r="F208" s="1"/>
      <c r="G208" s="1"/>
      <c r="H208" s="1"/>
      <c r="I208" s="1"/>
      <c r="J208" s="1"/>
      <c r="K208" s="1"/>
    </row>
    <row r="209" spans="2:11" x14ac:dyDescent="0.2">
      <c r="B209" s="1"/>
      <c r="C209" s="1"/>
      <c r="D209" s="1"/>
      <c r="E209" s="1"/>
      <c r="F209" s="1"/>
      <c r="G209" s="1"/>
      <c r="H209" s="1"/>
      <c r="I209" s="1"/>
      <c r="J209" s="1"/>
      <c r="K209" s="1"/>
    </row>
    <row r="210" spans="2:11" x14ac:dyDescent="0.2">
      <c r="B210" s="1"/>
      <c r="C210" s="1"/>
      <c r="D210" s="1"/>
      <c r="E210" s="1"/>
      <c r="F210" s="1"/>
      <c r="G210" s="1"/>
      <c r="H210" s="1"/>
      <c r="I210" s="1"/>
      <c r="J210" s="1"/>
      <c r="K210" s="1"/>
    </row>
    <row r="211" spans="2:11" x14ac:dyDescent="0.2">
      <c r="B211" s="1"/>
      <c r="C211" s="1"/>
      <c r="D211" s="1"/>
      <c r="E211" s="1"/>
      <c r="F211" s="1"/>
      <c r="G211" s="1"/>
      <c r="H211" s="1"/>
      <c r="I211" s="1"/>
      <c r="J211" s="1"/>
      <c r="K211" s="1"/>
    </row>
    <row r="212" spans="2:11" x14ac:dyDescent="0.2">
      <c r="B212" s="1"/>
      <c r="C212" s="1"/>
      <c r="D212" s="1"/>
      <c r="E212" s="1"/>
      <c r="F212" s="1"/>
      <c r="G212" s="1"/>
      <c r="H212" s="1"/>
      <c r="I212" s="1"/>
      <c r="J212" s="1"/>
      <c r="K212" s="1"/>
    </row>
    <row r="213" spans="2:11" x14ac:dyDescent="0.2">
      <c r="B213" s="1"/>
      <c r="C213" s="1"/>
      <c r="D213" s="1"/>
      <c r="E213" s="1"/>
      <c r="F213" s="1"/>
      <c r="G213" s="1"/>
      <c r="H213" s="1"/>
      <c r="I213" s="1"/>
      <c r="J213" s="1"/>
      <c r="K213" s="1"/>
    </row>
    <row r="214" spans="2:11" x14ac:dyDescent="0.2">
      <c r="B214" s="1"/>
      <c r="C214" s="1"/>
      <c r="D214" s="1"/>
      <c r="E214" s="1"/>
      <c r="F214" s="1"/>
      <c r="G214" s="1"/>
      <c r="H214" s="1"/>
      <c r="I214" s="1"/>
      <c r="J214" s="1"/>
      <c r="K214" s="1"/>
    </row>
    <row r="215" spans="2:11" x14ac:dyDescent="0.2">
      <c r="B215" s="1"/>
      <c r="C215" s="1"/>
      <c r="D215" s="1"/>
      <c r="E215" s="1"/>
      <c r="F215" s="1"/>
      <c r="G215" s="1"/>
      <c r="H215" s="1"/>
      <c r="I215" s="1"/>
      <c r="J215" s="1"/>
      <c r="K215" s="1"/>
    </row>
    <row r="216" spans="2:11" x14ac:dyDescent="0.2">
      <c r="B216" s="1"/>
      <c r="C216" s="1"/>
      <c r="D216" s="1"/>
      <c r="E216" s="1"/>
      <c r="F216" s="1"/>
      <c r="G216" s="1"/>
      <c r="H216" s="1"/>
      <c r="I216" s="1"/>
      <c r="J216" s="1"/>
      <c r="K216" s="1"/>
    </row>
    <row r="217" spans="2:11" x14ac:dyDescent="0.2">
      <c r="B217" s="1"/>
      <c r="C217" s="1"/>
      <c r="D217" s="1"/>
      <c r="E217" s="1"/>
      <c r="F217" s="1"/>
      <c r="G217" s="1"/>
      <c r="H217" s="1"/>
      <c r="I217" s="1"/>
      <c r="J217" s="1"/>
      <c r="K217" s="1"/>
    </row>
    <row r="218" spans="2:11" x14ac:dyDescent="0.2">
      <c r="B218" s="1"/>
      <c r="C218" s="1"/>
      <c r="D218" s="1"/>
      <c r="E218" s="1"/>
      <c r="F218" s="1"/>
      <c r="G218" s="1"/>
      <c r="H218" s="1"/>
      <c r="I218" s="1"/>
      <c r="J218" s="1"/>
      <c r="K218" s="1"/>
    </row>
    <row r="219" spans="2:11" x14ac:dyDescent="0.2">
      <c r="B219" s="1"/>
      <c r="C219" s="1"/>
      <c r="D219" s="1"/>
      <c r="E219" s="1"/>
      <c r="F219" s="1"/>
      <c r="G219" s="1"/>
      <c r="H219" s="1"/>
      <c r="I219" s="1"/>
      <c r="J219" s="1"/>
      <c r="K219" s="1"/>
    </row>
    <row r="220" spans="2:11" x14ac:dyDescent="0.2">
      <c r="B220" s="1"/>
      <c r="C220" s="1"/>
      <c r="D220" s="1"/>
      <c r="E220" s="1"/>
      <c r="F220" s="1"/>
      <c r="G220" s="1"/>
      <c r="H220" s="1"/>
      <c r="I220" s="1"/>
      <c r="J220" s="1"/>
      <c r="K220" s="1"/>
    </row>
    <row r="221" spans="2:11" x14ac:dyDescent="0.2">
      <c r="B221" s="1"/>
      <c r="C221" s="1"/>
      <c r="D221" s="1"/>
      <c r="E221" s="1"/>
      <c r="F221" s="1"/>
      <c r="G221" s="1"/>
      <c r="H221" s="1"/>
      <c r="I221" s="1"/>
      <c r="J221" s="1"/>
      <c r="K221" s="1"/>
    </row>
    <row r="222" spans="2:11" x14ac:dyDescent="0.2">
      <c r="B222" s="1"/>
      <c r="C222" s="1"/>
      <c r="D222" s="1"/>
      <c r="E222" s="1"/>
      <c r="F222" s="1"/>
      <c r="G222" s="1"/>
      <c r="H222" s="1"/>
      <c r="I222" s="1"/>
      <c r="J222" s="1"/>
      <c r="K222" s="1"/>
    </row>
    <row r="223" spans="2:11" x14ac:dyDescent="0.2">
      <c r="B223" s="1"/>
      <c r="C223" s="1"/>
      <c r="D223" s="1"/>
      <c r="E223" s="1"/>
      <c r="F223" s="1"/>
      <c r="G223" s="1"/>
      <c r="H223" s="1"/>
      <c r="I223" s="1"/>
      <c r="J223" s="1"/>
      <c r="K223" s="1"/>
    </row>
  </sheetData>
  <mergeCells count="13">
    <mergeCell ref="Q17:R17"/>
    <mergeCell ref="Q12:R12"/>
    <mergeCell ref="Q13:R13"/>
    <mergeCell ref="Q14:R14"/>
    <mergeCell ref="Q15:R15"/>
    <mergeCell ref="Q16:R16"/>
    <mergeCell ref="Q18:R18"/>
    <mergeCell ref="Q19:R19"/>
    <mergeCell ref="Q24:R24"/>
    <mergeCell ref="Q20:R20"/>
    <mergeCell ref="Q21:R21"/>
    <mergeCell ref="Q22:R22"/>
    <mergeCell ref="Q23:R23"/>
  </mergeCells>
  <phoneticPr fontId="15" type="noConversion"/>
  <pageMargins left="0.75" right="0.75" top="1" bottom="1" header="0.5" footer="0.5"/>
  <pageSetup paperSize="9"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R223"/>
  <sheetViews>
    <sheetView showGridLines="0" zoomScale="55" workbookViewId="0"/>
  </sheetViews>
  <sheetFormatPr defaultColWidth="8.77734375" defaultRowHeight="15" x14ac:dyDescent="0.2"/>
  <cols>
    <col min="1" max="1" width="14.6640625" style="419" customWidth="1"/>
    <col min="2" max="2" width="15.6640625" style="419" customWidth="1"/>
    <col min="3" max="3" width="31" style="419" customWidth="1"/>
    <col min="4" max="4" width="25.44140625" style="419" bestFit="1" customWidth="1"/>
    <col min="5" max="5" width="27.77734375" style="419" customWidth="1"/>
    <col min="6" max="6" width="30" style="419" customWidth="1"/>
    <col min="7" max="7" width="26.44140625" style="419" customWidth="1"/>
    <col min="8" max="8" width="26.6640625" style="419" customWidth="1"/>
    <col min="9" max="9" width="20.88671875" style="419" bestFit="1" customWidth="1"/>
    <col min="10" max="10" width="23.77734375" style="419" customWidth="1"/>
    <col min="11" max="11" width="21.77734375" style="419" customWidth="1"/>
    <col min="12" max="12" width="21.21875" style="419" customWidth="1"/>
    <col min="13" max="13" width="20.88671875" style="419" customWidth="1"/>
    <col min="14" max="17" width="16.109375" style="419" customWidth="1"/>
    <col min="18" max="18" width="21" style="419" customWidth="1"/>
    <col min="19" max="19" width="16.88671875" style="419" customWidth="1"/>
    <col min="20" max="20" width="19.109375" style="419" customWidth="1"/>
    <col min="21" max="21" width="18.6640625" style="419" customWidth="1"/>
    <col min="22" max="22" width="13.5546875" style="419" customWidth="1"/>
    <col min="23" max="23" width="13" style="419" customWidth="1"/>
    <col min="24" max="24" width="12.109375" style="419" customWidth="1"/>
    <col min="25" max="25" width="40.109375" style="419" bestFit="1" customWidth="1"/>
    <col min="26" max="26" width="25.33203125" style="419" bestFit="1" customWidth="1"/>
    <col min="27" max="27" width="15.88671875" style="422" bestFit="1" customWidth="1"/>
    <col min="28" max="28" width="14" style="422" customWidth="1"/>
    <col min="29" max="29" width="23.33203125" style="422" bestFit="1" customWidth="1"/>
    <col min="30" max="30" width="17.77734375" style="422" customWidth="1"/>
    <col min="31" max="31" width="12.109375" style="422" bestFit="1" customWidth="1"/>
    <col min="32" max="32" width="12.33203125" style="422" customWidth="1"/>
    <col min="33" max="34" width="8.77734375" style="419"/>
    <col min="35" max="35" width="38.109375" style="419" bestFit="1" customWidth="1"/>
    <col min="36" max="36" width="21.44140625" style="419" bestFit="1" customWidth="1"/>
    <col min="37" max="37" width="32.109375" style="419" customWidth="1"/>
    <col min="38" max="38" width="30.88671875" style="419" bestFit="1" customWidth="1"/>
    <col min="39" max="39" width="19" style="419" bestFit="1" customWidth="1"/>
    <col min="40" max="40" width="8.77734375" style="419"/>
    <col min="41" max="41" width="17.6640625" style="419" customWidth="1"/>
    <col min="42" max="42" width="12.109375" style="419" bestFit="1" customWidth="1"/>
    <col min="43" max="43" width="18.44140625" style="419" bestFit="1" customWidth="1"/>
    <col min="44" max="16384" width="8.77734375" style="419"/>
  </cols>
  <sheetData>
    <row r="1" spans="1:28" ht="15.75" thickBot="1" x14ac:dyDescent="0.25"/>
    <row r="2" spans="1:28" ht="20.25" x14ac:dyDescent="0.3">
      <c r="B2" s="545" t="s">
        <v>246</v>
      </c>
      <c r="F2" s="560" t="s">
        <v>1029</v>
      </c>
      <c r="G2" s="561"/>
    </row>
    <row r="3" spans="1:28" ht="15.75" x14ac:dyDescent="0.25">
      <c r="A3" s="446"/>
      <c r="F3" s="562" t="s">
        <v>1026</v>
      </c>
      <c r="G3" s="563"/>
    </row>
    <row r="4" spans="1:28" ht="13.5" customHeight="1" x14ac:dyDescent="0.25">
      <c r="A4" s="446"/>
      <c r="F4" s="562" t="s">
        <v>1030</v>
      </c>
      <c r="G4" s="563"/>
    </row>
    <row r="5" spans="1:28" ht="16.5" thickBot="1" x14ac:dyDescent="0.3">
      <c r="B5" s="446" t="s">
        <v>800</v>
      </c>
      <c r="C5" s="416" t="str">
        <f>'Gross margin summary'!F15</f>
        <v>Butterfly pea</v>
      </c>
      <c r="D5" s="417"/>
      <c r="E5" s="446"/>
      <c r="F5" s="564"/>
      <c r="G5" s="565"/>
    </row>
    <row r="7" spans="1:28" ht="18" customHeight="1" x14ac:dyDescent="0.2">
      <c r="A7" s="1"/>
      <c r="B7" s="1"/>
      <c r="C7" s="1"/>
      <c r="D7" s="1"/>
      <c r="E7" s="1"/>
      <c r="F7" s="1"/>
      <c r="G7" s="1"/>
      <c r="H7" s="1"/>
      <c r="I7" s="1"/>
      <c r="J7" s="1"/>
      <c r="K7" s="1"/>
      <c r="L7" s="1"/>
      <c r="M7" s="1"/>
      <c r="N7" s="1"/>
      <c r="O7" s="1"/>
      <c r="P7" s="1"/>
      <c r="Q7" s="1"/>
      <c r="R7" s="1"/>
      <c r="S7" s="1"/>
      <c r="T7" s="1"/>
      <c r="U7" s="1"/>
      <c r="V7" s="1"/>
      <c r="W7" s="1"/>
      <c r="X7" s="1"/>
      <c r="Y7" s="1"/>
      <c r="Z7" s="1"/>
      <c r="AA7" s="6"/>
    </row>
    <row r="8" spans="1:28" ht="18" customHeight="1" x14ac:dyDescent="0.2">
      <c r="A8" s="1"/>
      <c r="B8" s="1"/>
      <c r="C8" s="12" t="s">
        <v>689</v>
      </c>
      <c r="D8" s="546">
        <v>100</v>
      </c>
      <c r="E8" s="1" t="s">
        <v>1000</v>
      </c>
      <c r="L8" s="1"/>
      <c r="M8" s="1"/>
      <c r="O8" s="1"/>
      <c r="P8" s="1"/>
      <c r="Q8" s="1"/>
      <c r="R8" s="1"/>
      <c r="S8" s="1"/>
      <c r="T8" s="1"/>
      <c r="U8" s="1"/>
      <c r="V8" s="1"/>
      <c r="W8" s="1"/>
      <c r="X8" s="1"/>
      <c r="Y8" s="1"/>
      <c r="Z8" s="1"/>
      <c r="AA8" s="6"/>
    </row>
    <row r="9" spans="1:28" ht="18" customHeight="1" x14ac:dyDescent="0.2">
      <c r="A9" s="1"/>
      <c r="B9" s="1"/>
      <c r="C9" s="12" t="s">
        <v>373</v>
      </c>
      <c r="D9" s="546">
        <v>100</v>
      </c>
      <c r="E9" s="419" t="s">
        <v>1000</v>
      </c>
      <c r="F9" s="12"/>
      <c r="G9"/>
      <c r="H9"/>
      <c r="I9"/>
      <c r="J9"/>
      <c r="K9"/>
      <c r="L9" s="1"/>
      <c r="M9" s="1"/>
      <c r="O9" s="1"/>
      <c r="P9" s="1"/>
      <c r="Q9" s="443" t="s">
        <v>645</v>
      </c>
      <c r="R9" s="443"/>
      <c r="S9" s="443"/>
      <c r="T9" s="1"/>
      <c r="U9" s="1"/>
      <c r="V9" s="1"/>
      <c r="W9" s="1"/>
      <c r="X9" s="1"/>
      <c r="Y9" s="1"/>
      <c r="Z9" s="1"/>
      <c r="AA9" s="6"/>
    </row>
    <row r="10" spans="1:28" ht="18" customHeight="1" x14ac:dyDescent="0.2">
      <c r="A10" s="1"/>
      <c r="B10" s="1"/>
      <c r="C10" s="12" t="s">
        <v>690</v>
      </c>
      <c r="D10" s="421">
        <f>IF(D9&lt;=0,0,D9/D8)</f>
        <v>1</v>
      </c>
      <c r="F10" s="12"/>
      <c r="G10"/>
      <c r="H10"/>
      <c r="I10"/>
      <c r="J10"/>
      <c r="K10"/>
      <c r="L10" s="1"/>
      <c r="M10" s="1"/>
      <c r="O10" s="1"/>
      <c r="P10" s="1"/>
      <c r="Q10" s="1"/>
      <c r="R10" s="1"/>
      <c r="S10" s="1"/>
      <c r="T10" s="1"/>
      <c r="U10" s="1"/>
      <c r="V10" s="1"/>
      <c r="W10" s="1"/>
      <c r="X10" s="1"/>
      <c r="Y10" s="1"/>
      <c r="Z10" s="1"/>
      <c r="AA10" s="6"/>
    </row>
    <row r="11" spans="1:28" ht="18" customHeight="1" x14ac:dyDescent="0.25">
      <c r="A11" s="1"/>
      <c r="B11" s="1"/>
      <c r="C11" s="12"/>
      <c r="D11"/>
      <c r="E11" s="1"/>
      <c r="F11" s="12"/>
      <c r="G11"/>
      <c r="H11"/>
      <c r="I11"/>
      <c r="J11"/>
      <c r="K11"/>
      <c r="L11" s="1"/>
      <c r="M11" s="1"/>
      <c r="O11" s="1"/>
      <c r="P11" s="1"/>
      <c r="R11" s="544"/>
      <c r="S11" s="477" t="s">
        <v>698</v>
      </c>
      <c r="T11" s="477" t="s">
        <v>699</v>
      </c>
      <c r="U11" s="477" t="s">
        <v>700</v>
      </c>
      <c r="V11" s="477" t="s">
        <v>701</v>
      </c>
      <c r="W11" s="477" t="s">
        <v>702</v>
      </c>
      <c r="X11" s="477" t="s">
        <v>703</v>
      </c>
      <c r="Y11" s="1"/>
      <c r="Z11" s="424" t="s">
        <v>857</v>
      </c>
      <c r="AA11" s="425"/>
      <c r="AB11" s="6"/>
    </row>
    <row r="12" spans="1:28" ht="18" customHeight="1" x14ac:dyDescent="0.2">
      <c r="A12" s="1"/>
      <c r="B12" s="1"/>
      <c r="C12" s="1"/>
      <c r="D12" s="1"/>
      <c r="E12" s="1"/>
      <c r="F12" s="1"/>
      <c r="G12" s="1"/>
      <c r="H12" s="1"/>
      <c r="I12" s="1"/>
      <c r="J12" s="1"/>
      <c r="K12" s="1"/>
      <c r="L12" s="1"/>
      <c r="M12" s="423"/>
      <c r="N12" s="1"/>
      <c r="O12" s="1"/>
      <c r="P12" s="1"/>
      <c r="Q12" s="583" t="s">
        <v>646</v>
      </c>
      <c r="R12" s="584"/>
      <c r="S12" s="429">
        <f>F16</f>
        <v>466.4</v>
      </c>
      <c r="T12" s="429">
        <f>F17</f>
        <v>0</v>
      </c>
      <c r="U12" s="429">
        <f>F18</f>
        <v>0</v>
      </c>
      <c r="V12" s="429">
        <f>F19</f>
        <v>0</v>
      </c>
      <c r="W12" s="429">
        <f>F20</f>
        <v>0</v>
      </c>
      <c r="X12" s="429">
        <f>F21</f>
        <v>0</v>
      </c>
      <c r="Z12" s="427" t="s">
        <v>858</v>
      </c>
      <c r="AA12" s="427"/>
      <c r="AB12" s="6"/>
    </row>
    <row r="13" spans="1:28" ht="18" customHeight="1" x14ac:dyDescent="0.25">
      <c r="A13" s="1"/>
      <c r="B13" s="5" t="s">
        <v>691</v>
      </c>
      <c r="C13" s="1"/>
      <c r="D13" s="426" t="s">
        <v>376</v>
      </c>
      <c r="E13" s="426"/>
      <c r="F13" s="426"/>
      <c r="G13" s="426"/>
      <c r="H13" s="1"/>
      <c r="I13" s="1"/>
      <c r="J13" s="1"/>
      <c r="K13" s="1"/>
      <c r="L13" s="1"/>
      <c r="M13" s="1"/>
      <c r="N13" s="1"/>
      <c r="O13" s="1"/>
      <c r="P13" s="1"/>
      <c r="Q13" s="583" t="s">
        <v>647</v>
      </c>
      <c r="R13" s="584"/>
      <c r="S13" s="478">
        <v>0</v>
      </c>
      <c r="T13" s="478">
        <v>0</v>
      </c>
      <c r="U13" s="478">
        <v>0</v>
      </c>
      <c r="V13" s="478">
        <v>0</v>
      </c>
      <c r="W13" s="478">
        <v>0</v>
      </c>
      <c r="X13" s="478">
        <v>0</v>
      </c>
      <c r="Z13" s="428" t="s">
        <v>859</v>
      </c>
      <c r="AA13" s="419"/>
      <c r="AB13" s="6"/>
    </row>
    <row r="14" spans="1:28" ht="18" customHeight="1" x14ac:dyDescent="0.25">
      <c r="A14" s="1"/>
      <c r="B14" s="1"/>
      <c r="C14" s="1"/>
      <c r="D14" s="1"/>
      <c r="E14" s="1"/>
      <c r="F14" s="1"/>
      <c r="G14" s="1"/>
      <c r="H14" s="1"/>
      <c r="I14" s="1"/>
      <c r="J14" s="1"/>
      <c r="K14" s="1"/>
      <c r="L14" s="1"/>
      <c r="M14" s="1"/>
      <c r="N14" s="1"/>
      <c r="O14" s="1"/>
      <c r="P14" s="1"/>
      <c r="Q14" s="583" t="s">
        <v>648</v>
      </c>
      <c r="R14" s="584"/>
      <c r="S14" s="409">
        <f t="shared" ref="S14:X14" si="0">S12*(1-S13)</f>
        <v>466.4</v>
      </c>
      <c r="T14" s="409">
        <f t="shared" si="0"/>
        <v>0</v>
      </c>
      <c r="U14" s="409">
        <f t="shared" si="0"/>
        <v>0</v>
      </c>
      <c r="V14" s="409">
        <f t="shared" si="0"/>
        <v>0</v>
      </c>
      <c r="W14" s="409">
        <f t="shared" si="0"/>
        <v>0</v>
      </c>
      <c r="X14" s="409">
        <f t="shared" si="0"/>
        <v>0</v>
      </c>
      <c r="Z14" s="430" t="s">
        <v>492</v>
      </c>
      <c r="AA14" s="430" t="s">
        <v>493</v>
      </c>
      <c r="AB14" s="6"/>
    </row>
    <row r="15" spans="1:28" ht="30.75" x14ac:dyDescent="0.25">
      <c r="A15" s="1"/>
      <c r="B15" s="1"/>
      <c r="C15" s="407" t="s">
        <v>377</v>
      </c>
      <c r="D15" s="407" t="s">
        <v>692</v>
      </c>
      <c r="E15" s="407" t="s">
        <v>391</v>
      </c>
      <c r="F15" s="407" t="s">
        <v>693</v>
      </c>
      <c r="G15" s="407" t="s">
        <v>694</v>
      </c>
      <c r="H15" s="407" t="s">
        <v>695</v>
      </c>
      <c r="I15" s="407" t="s">
        <v>559</v>
      </c>
      <c r="J15" s="407" t="s">
        <v>560</v>
      </c>
      <c r="K15" s="407" t="s">
        <v>696</v>
      </c>
      <c r="L15" s="407" t="s">
        <v>697</v>
      </c>
      <c r="M15"/>
      <c r="N15"/>
      <c r="Q15" s="583" t="s">
        <v>682</v>
      </c>
      <c r="R15" s="584"/>
      <c r="S15" s="445"/>
      <c r="T15" s="445"/>
      <c r="U15" s="445"/>
      <c r="V15" s="445"/>
      <c r="W15" s="445"/>
      <c r="X15" s="445"/>
      <c r="Z15" s="434" t="s">
        <v>494</v>
      </c>
      <c r="AA15" s="434" t="s">
        <v>495</v>
      </c>
      <c r="AB15" s="6"/>
    </row>
    <row r="16" spans="1:28" ht="18" customHeight="1" x14ac:dyDescent="0.2">
      <c r="A16" s="1"/>
      <c r="B16" s="1" t="s">
        <v>698</v>
      </c>
      <c r="C16" s="431">
        <v>41640</v>
      </c>
      <c r="D16" s="479">
        <v>71.365133980784336</v>
      </c>
      <c r="E16" s="480">
        <v>1.6</v>
      </c>
      <c r="F16" s="568">
        <v>466.4</v>
      </c>
      <c r="G16" s="433">
        <f t="shared" ref="G16:G21" si="1">F16*E16</f>
        <v>746.24</v>
      </c>
      <c r="H16" s="411">
        <f t="shared" ref="H16:H21" si="2">G16*D16</f>
        <v>53255.517581820503</v>
      </c>
      <c r="I16" s="413">
        <f t="shared" ref="I16:I21" si="3">D16/$D$8</f>
        <v>0.71365133980784334</v>
      </c>
      <c r="J16" s="413">
        <f t="shared" ref="J16:J21" si="4">IF(D16&lt;=0,0,$D$8/D16)</f>
        <v>1.4012444792288323</v>
      </c>
      <c r="K16" s="413">
        <f t="shared" ref="K16:K21" si="5">D16/$D$9</f>
        <v>0.71365133980784334</v>
      </c>
      <c r="L16" s="413">
        <f t="shared" ref="L16:L21" si="6">IF(D16&lt;=0,0,$D$9/D16)</f>
        <v>1.4012444792288323</v>
      </c>
      <c r="M16"/>
      <c r="N16"/>
      <c r="Q16" s="583" t="s">
        <v>683</v>
      </c>
      <c r="R16" s="584"/>
      <c r="S16" s="433">
        <f t="shared" ref="S16:X16" si="7">S15*S14</f>
        <v>0</v>
      </c>
      <c r="T16" s="433">
        <f t="shared" si="7"/>
        <v>0</v>
      </c>
      <c r="U16" s="433">
        <f t="shared" si="7"/>
        <v>0</v>
      </c>
      <c r="V16" s="433">
        <f t="shared" si="7"/>
        <v>0</v>
      </c>
      <c r="W16" s="433">
        <f t="shared" si="7"/>
        <v>0</v>
      </c>
      <c r="X16" s="433">
        <f t="shared" si="7"/>
        <v>0</v>
      </c>
      <c r="Z16" s="437">
        <v>250</v>
      </c>
      <c r="AA16" s="437">
        <v>38</v>
      </c>
      <c r="AB16" s="6"/>
    </row>
    <row r="17" spans="1:28" ht="18" customHeight="1" x14ac:dyDescent="0.2">
      <c r="A17" s="1"/>
      <c r="B17" s="1" t="s">
        <v>699</v>
      </c>
      <c r="C17" s="431"/>
      <c r="D17" s="435"/>
      <c r="E17" s="436"/>
      <c r="F17" s="432"/>
      <c r="G17" s="433">
        <f t="shared" si="1"/>
        <v>0</v>
      </c>
      <c r="H17" s="411">
        <f t="shared" si="2"/>
        <v>0</v>
      </c>
      <c r="I17" s="413">
        <f t="shared" si="3"/>
        <v>0</v>
      </c>
      <c r="J17" s="413">
        <f t="shared" si="4"/>
        <v>0</v>
      </c>
      <c r="K17" s="413">
        <f t="shared" si="5"/>
        <v>0</v>
      </c>
      <c r="L17" s="413">
        <f t="shared" si="6"/>
        <v>0</v>
      </c>
      <c r="M17"/>
      <c r="N17"/>
      <c r="Q17" s="583" t="s">
        <v>651</v>
      </c>
      <c r="R17" s="584"/>
      <c r="S17" s="478">
        <v>3.5000000000000003E-2</v>
      </c>
      <c r="T17" s="478"/>
      <c r="U17" s="478"/>
      <c r="V17" s="478"/>
      <c r="W17" s="478"/>
      <c r="X17" s="478"/>
      <c r="Z17" s="438">
        <v>300</v>
      </c>
      <c r="AA17" s="438">
        <v>34</v>
      </c>
      <c r="AB17" s="6"/>
    </row>
    <row r="18" spans="1:28" ht="18" customHeight="1" x14ac:dyDescent="0.2">
      <c r="A18" s="1"/>
      <c r="B18" s="1" t="s">
        <v>700</v>
      </c>
      <c r="C18" s="431"/>
      <c r="D18" s="435"/>
      <c r="E18" s="436"/>
      <c r="F18" s="432"/>
      <c r="G18" s="433">
        <f t="shared" si="1"/>
        <v>0</v>
      </c>
      <c r="H18" s="411">
        <f t="shared" si="2"/>
        <v>0</v>
      </c>
      <c r="I18" s="413">
        <f t="shared" si="3"/>
        <v>0</v>
      </c>
      <c r="J18" s="413">
        <f t="shared" si="4"/>
        <v>0</v>
      </c>
      <c r="K18" s="413">
        <f t="shared" si="5"/>
        <v>0</v>
      </c>
      <c r="L18" s="413">
        <f t="shared" si="6"/>
        <v>0</v>
      </c>
      <c r="Q18" s="583" t="s">
        <v>684</v>
      </c>
      <c r="R18" s="584"/>
      <c r="S18" s="433">
        <f t="shared" ref="S18:X18" si="8">S17*S16</f>
        <v>0</v>
      </c>
      <c r="T18" s="433">
        <f t="shared" si="8"/>
        <v>0</v>
      </c>
      <c r="U18" s="433">
        <f t="shared" si="8"/>
        <v>0</v>
      </c>
      <c r="V18" s="433">
        <f t="shared" si="8"/>
        <v>0</v>
      </c>
      <c r="W18" s="433">
        <f t="shared" si="8"/>
        <v>0</v>
      </c>
      <c r="X18" s="433">
        <f t="shared" si="8"/>
        <v>0</v>
      </c>
      <c r="Z18" s="438">
        <v>350</v>
      </c>
      <c r="AA18" s="438">
        <v>30</v>
      </c>
      <c r="AB18" s="6"/>
    </row>
    <row r="19" spans="1:28" ht="18" customHeight="1" x14ac:dyDescent="0.2">
      <c r="A19" s="1"/>
      <c r="B19" s="1" t="s">
        <v>701</v>
      </c>
      <c r="C19" s="431"/>
      <c r="D19" s="435"/>
      <c r="E19" s="436"/>
      <c r="F19" s="432"/>
      <c r="G19" s="433">
        <f t="shared" si="1"/>
        <v>0</v>
      </c>
      <c r="H19" s="411">
        <f t="shared" si="2"/>
        <v>0</v>
      </c>
      <c r="I19" s="413">
        <f t="shared" si="3"/>
        <v>0</v>
      </c>
      <c r="J19" s="413">
        <f t="shared" si="4"/>
        <v>0</v>
      </c>
      <c r="K19" s="413">
        <f t="shared" si="5"/>
        <v>0</v>
      </c>
      <c r="L19" s="413">
        <f t="shared" si="6"/>
        <v>0</v>
      </c>
      <c r="Q19" s="583" t="s">
        <v>653</v>
      </c>
      <c r="R19" s="584"/>
      <c r="S19" s="445"/>
      <c r="T19" s="445"/>
      <c r="U19" s="445"/>
      <c r="V19" s="445"/>
      <c r="W19" s="445"/>
      <c r="X19" s="445"/>
      <c r="Z19" s="438">
        <v>400</v>
      </c>
      <c r="AA19" s="438">
        <v>28</v>
      </c>
      <c r="AB19" s="6"/>
    </row>
    <row r="20" spans="1:28" ht="18" customHeight="1" x14ac:dyDescent="0.2">
      <c r="A20" s="1"/>
      <c r="B20" s="1" t="s">
        <v>702</v>
      </c>
      <c r="C20" s="431"/>
      <c r="D20" s="435"/>
      <c r="E20" s="436"/>
      <c r="F20" s="432"/>
      <c r="G20" s="433">
        <f t="shared" si="1"/>
        <v>0</v>
      </c>
      <c r="H20" s="411">
        <f t="shared" si="2"/>
        <v>0</v>
      </c>
      <c r="I20" s="413">
        <f t="shared" si="3"/>
        <v>0</v>
      </c>
      <c r="J20" s="413">
        <f t="shared" si="4"/>
        <v>0</v>
      </c>
      <c r="K20" s="413">
        <f t="shared" si="5"/>
        <v>0</v>
      </c>
      <c r="L20" s="413">
        <f t="shared" si="6"/>
        <v>0</v>
      </c>
      <c r="Q20" s="583" t="s">
        <v>685</v>
      </c>
      <c r="R20" s="584"/>
      <c r="S20" s="445"/>
      <c r="T20" s="445"/>
      <c r="U20" s="445"/>
      <c r="V20" s="445"/>
      <c r="W20" s="445"/>
      <c r="X20" s="445"/>
      <c r="Z20" s="438">
        <v>450</v>
      </c>
      <c r="AA20" s="438">
        <v>26</v>
      </c>
      <c r="AB20" s="6"/>
    </row>
    <row r="21" spans="1:28" ht="18" customHeight="1" x14ac:dyDescent="0.2">
      <c r="A21" s="1"/>
      <c r="B21" s="1" t="s">
        <v>703</v>
      </c>
      <c r="C21" s="431"/>
      <c r="D21" s="435"/>
      <c r="E21" s="436"/>
      <c r="F21" s="432"/>
      <c r="G21" s="433">
        <f t="shared" si="1"/>
        <v>0</v>
      </c>
      <c r="H21" s="411">
        <f t="shared" si="2"/>
        <v>0</v>
      </c>
      <c r="I21" s="413">
        <f t="shared" si="3"/>
        <v>0</v>
      </c>
      <c r="J21" s="413">
        <f t="shared" si="4"/>
        <v>0</v>
      </c>
      <c r="K21" s="413">
        <f t="shared" si="5"/>
        <v>0</v>
      </c>
      <c r="L21" s="413">
        <f t="shared" si="6"/>
        <v>0</v>
      </c>
      <c r="Q21" s="583" t="s">
        <v>655</v>
      </c>
      <c r="R21" s="584"/>
      <c r="S21" s="433">
        <f t="shared" ref="S21:X21" si="9">S16-S18-S19-S20</f>
        <v>0</v>
      </c>
      <c r="T21" s="433">
        <f t="shared" si="9"/>
        <v>0</v>
      </c>
      <c r="U21" s="433">
        <f t="shared" si="9"/>
        <v>0</v>
      </c>
      <c r="V21" s="433">
        <f t="shared" si="9"/>
        <v>0</v>
      </c>
      <c r="W21" s="433">
        <f t="shared" si="9"/>
        <v>0</v>
      </c>
      <c r="X21" s="433">
        <f t="shared" si="9"/>
        <v>0</v>
      </c>
      <c r="Z21" s="438">
        <v>500</v>
      </c>
      <c r="AA21" s="438">
        <v>24</v>
      </c>
      <c r="AB21" s="6"/>
    </row>
    <row r="22" spans="1:28" ht="18" customHeight="1" thickBot="1" x14ac:dyDescent="0.25">
      <c r="A22" s="1"/>
      <c r="B22" s="1"/>
      <c r="C22" s="1"/>
      <c r="D22" s="1"/>
      <c r="E22" s="1"/>
      <c r="F22" s="439">
        <f>SUMPRODUCT(D16:D21,F16:F21)</f>
        <v>33284.698488637812</v>
      </c>
      <c r="G22" s="1"/>
      <c r="H22" s="440">
        <f>SUM(H16:H21)</f>
        <v>53255.517581820503</v>
      </c>
      <c r="I22" s="1"/>
      <c r="J22" s="1"/>
      <c r="K22" s="1"/>
      <c r="L22" s="1"/>
      <c r="Q22" s="583" t="s">
        <v>656</v>
      </c>
      <c r="R22" s="584"/>
      <c r="S22" s="409">
        <f t="shared" ref="S22:X22" si="10">S12</f>
        <v>466.4</v>
      </c>
      <c r="T22" s="409">
        <f t="shared" si="10"/>
        <v>0</v>
      </c>
      <c r="U22" s="409">
        <f t="shared" si="10"/>
        <v>0</v>
      </c>
      <c r="V22" s="409">
        <f t="shared" si="10"/>
        <v>0</v>
      </c>
      <c r="W22" s="409">
        <f t="shared" si="10"/>
        <v>0</v>
      </c>
      <c r="X22" s="409">
        <f t="shared" si="10"/>
        <v>0</v>
      </c>
      <c r="Z22" s="438">
        <v>550</v>
      </c>
      <c r="AA22" s="438">
        <v>22</v>
      </c>
      <c r="AB22" s="6"/>
    </row>
    <row r="23" spans="1:28" ht="18" customHeight="1" thickTop="1" x14ac:dyDescent="0.2">
      <c r="A23" s="1"/>
      <c r="B23" s="1"/>
      <c r="C23" s="1"/>
      <c r="D23" s="1"/>
      <c r="E23" s="1"/>
      <c r="F23" s="1"/>
      <c r="G23" s="1"/>
      <c r="H23" s="1"/>
      <c r="I23" s="1"/>
      <c r="J23" s="1"/>
      <c r="K23" s="1"/>
      <c r="L23" s="1"/>
      <c r="M23" s="1"/>
      <c r="N23" s="1"/>
      <c r="O23" s="1"/>
      <c r="P23" s="1"/>
      <c r="Q23" s="583" t="s">
        <v>686</v>
      </c>
      <c r="R23" s="584"/>
      <c r="S23" s="433">
        <f t="shared" ref="S23:X23" si="11">IF(S14&gt;0,(S18+S19+S20)/S14,0)</f>
        <v>0</v>
      </c>
      <c r="T23" s="433">
        <f t="shared" si="11"/>
        <v>0</v>
      </c>
      <c r="U23" s="433">
        <f t="shared" si="11"/>
        <v>0</v>
      </c>
      <c r="V23" s="433">
        <f t="shared" si="11"/>
        <v>0</v>
      </c>
      <c r="W23" s="433">
        <f t="shared" si="11"/>
        <v>0</v>
      </c>
      <c r="X23" s="433">
        <f t="shared" si="11"/>
        <v>0</v>
      </c>
      <c r="Z23" s="438">
        <v>600</v>
      </c>
      <c r="AA23" s="438">
        <v>20</v>
      </c>
      <c r="AB23" s="6"/>
    </row>
    <row r="24" spans="1:28" ht="18" customHeight="1" x14ac:dyDescent="0.2">
      <c r="A24" s="1"/>
      <c r="C24" s="1"/>
      <c r="D24" s="1"/>
      <c r="E24" s="1"/>
      <c r="F24" s="1"/>
      <c r="G24" s="1"/>
      <c r="H24" s="1"/>
      <c r="I24" s="1"/>
      <c r="J24" s="1"/>
      <c r="K24" s="1"/>
      <c r="L24" s="1"/>
      <c r="M24" s="1"/>
      <c r="N24" s="1"/>
      <c r="O24" s="1"/>
      <c r="P24" s="1"/>
      <c r="Q24" s="583" t="s">
        <v>687</v>
      </c>
      <c r="R24" s="584"/>
      <c r="S24" s="433">
        <f t="shared" ref="S24:X24" si="12">IF(S22&gt;0,S21/S22,0)</f>
        <v>0</v>
      </c>
      <c r="T24" s="433">
        <f t="shared" si="12"/>
        <v>0</v>
      </c>
      <c r="U24" s="433">
        <f t="shared" si="12"/>
        <v>0</v>
      </c>
      <c r="V24" s="433">
        <f t="shared" si="12"/>
        <v>0</v>
      </c>
      <c r="W24" s="433">
        <f t="shared" si="12"/>
        <v>0</v>
      </c>
      <c r="X24" s="433">
        <f t="shared" si="12"/>
        <v>0</v>
      </c>
      <c r="Z24" s="438">
        <v>650</v>
      </c>
      <c r="AA24" s="438">
        <v>18</v>
      </c>
      <c r="AB24" s="6"/>
    </row>
    <row r="25" spans="1:28" customFormat="1" ht="18" customHeight="1" x14ac:dyDescent="0.2"/>
    <row r="26" spans="1:28" customFormat="1" ht="18" customHeight="1" x14ac:dyDescent="0.25">
      <c r="B26" s="5" t="s">
        <v>390</v>
      </c>
      <c r="C26" s="419"/>
      <c r="D26" s="193"/>
      <c r="E26" s="193"/>
      <c r="F26" s="193"/>
      <c r="G26" s="193"/>
      <c r="H26" s="193"/>
      <c r="I26" s="193"/>
      <c r="J26" s="419"/>
      <c r="K26" s="419"/>
      <c r="L26" s="245"/>
    </row>
    <row r="27" spans="1:28" customFormat="1" ht="18" customHeight="1" x14ac:dyDescent="0.25">
      <c r="B27" s="446"/>
      <c r="C27" s="255"/>
      <c r="D27" s="193"/>
      <c r="E27" s="193"/>
      <c r="F27" s="193"/>
      <c r="G27" s="193"/>
      <c r="H27" s="193"/>
      <c r="I27" s="193"/>
      <c r="J27" s="193"/>
      <c r="K27" s="419"/>
      <c r="L27" s="245"/>
    </row>
    <row r="28" spans="1:28" customFormat="1" ht="30.75" x14ac:dyDescent="0.25">
      <c r="C28" s="407" t="s">
        <v>866</v>
      </c>
      <c r="D28" s="407" t="s">
        <v>867</v>
      </c>
      <c r="E28" s="407" t="s">
        <v>384</v>
      </c>
      <c r="F28" s="408" t="s">
        <v>716</v>
      </c>
      <c r="G28" s="408" t="s">
        <v>385</v>
      </c>
      <c r="H28" s="408" t="s">
        <v>386</v>
      </c>
      <c r="I28" s="407" t="s">
        <v>387</v>
      </c>
      <c r="J28" s="407" t="s">
        <v>389</v>
      </c>
      <c r="K28" s="407" t="s">
        <v>688</v>
      </c>
      <c r="L28" s="407" t="s">
        <v>388</v>
      </c>
      <c r="Z28" s="446" t="s">
        <v>375</v>
      </c>
      <c r="AA28" s="419"/>
    </row>
    <row r="29" spans="1:28" customFormat="1" ht="18" customHeight="1" x14ac:dyDescent="0.2">
      <c r="B29" s="1" t="s">
        <v>698</v>
      </c>
      <c r="C29" s="409">
        <f t="shared" ref="C29:C34" si="13">D16</f>
        <v>71.365133980784336</v>
      </c>
      <c r="D29" s="409">
        <f t="shared" ref="D29:D34" si="14">F16</f>
        <v>466.4</v>
      </c>
      <c r="E29" s="450">
        <v>189.5</v>
      </c>
      <c r="F29" s="451">
        <v>1.9</v>
      </c>
      <c r="G29" s="450">
        <v>26</v>
      </c>
      <c r="H29" s="411">
        <f t="shared" ref="H29:H34" si="15">IF(C29&gt;0,C29*E29*F29/G29,0)</f>
        <v>988.26986499159227</v>
      </c>
      <c r="I29" s="433">
        <f t="shared" ref="I29:I34" si="16">IF(C29&gt;0,H29/C29,0)</f>
        <v>13.848076923076922</v>
      </c>
      <c r="J29" s="549">
        <v>0</v>
      </c>
      <c r="K29" s="549">
        <v>0</v>
      </c>
      <c r="L29" s="433">
        <f t="shared" ref="L29:L34" si="17">K29*C29</f>
        <v>0</v>
      </c>
      <c r="Z29" s="419"/>
      <c r="AA29" s="419"/>
    </row>
    <row r="30" spans="1:28" customFormat="1" ht="18" customHeight="1" x14ac:dyDescent="0.25">
      <c r="B30" s="1" t="s">
        <v>699</v>
      </c>
      <c r="C30" s="409">
        <f t="shared" si="13"/>
        <v>0</v>
      </c>
      <c r="D30" s="409">
        <f t="shared" si="14"/>
        <v>0</v>
      </c>
      <c r="E30" s="450"/>
      <c r="F30" s="451"/>
      <c r="G30" s="450"/>
      <c r="H30" s="411">
        <f t="shared" si="15"/>
        <v>0</v>
      </c>
      <c r="I30" s="433">
        <f t="shared" si="16"/>
        <v>0</v>
      </c>
      <c r="J30" s="549">
        <v>0</v>
      </c>
      <c r="K30" s="549">
        <v>0</v>
      </c>
      <c r="L30" s="433">
        <f t="shared" si="17"/>
        <v>0</v>
      </c>
      <c r="Z30" s="362" t="s">
        <v>374</v>
      </c>
      <c r="AA30" s="548">
        <f>D16</f>
        <v>71.365133980784336</v>
      </c>
    </row>
    <row r="31" spans="1:28" customFormat="1" ht="18" customHeight="1" x14ac:dyDescent="0.25">
      <c r="B31" s="1" t="s">
        <v>700</v>
      </c>
      <c r="C31" s="409">
        <f t="shared" si="13"/>
        <v>0</v>
      </c>
      <c r="D31" s="409">
        <f t="shared" si="14"/>
        <v>0</v>
      </c>
      <c r="E31" s="450"/>
      <c r="F31" s="451"/>
      <c r="G31" s="450"/>
      <c r="H31" s="411">
        <f t="shared" si="15"/>
        <v>0</v>
      </c>
      <c r="I31" s="433">
        <f t="shared" si="16"/>
        <v>0</v>
      </c>
      <c r="J31" s="549">
        <v>0</v>
      </c>
      <c r="K31" s="549">
        <v>0</v>
      </c>
      <c r="L31" s="433">
        <f t="shared" si="17"/>
        <v>0</v>
      </c>
      <c r="Z31" s="362" t="s">
        <v>868</v>
      </c>
      <c r="AA31" s="256">
        <v>200</v>
      </c>
    </row>
    <row r="32" spans="1:28" customFormat="1" ht="18" customHeight="1" x14ac:dyDescent="0.25">
      <c r="B32" s="1" t="s">
        <v>701</v>
      </c>
      <c r="C32" s="409">
        <f t="shared" si="13"/>
        <v>0</v>
      </c>
      <c r="D32" s="409">
        <f t="shared" si="14"/>
        <v>0</v>
      </c>
      <c r="E32" s="450"/>
      <c r="F32" s="451"/>
      <c r="G32" s="450"/>
      <c r="H32" s="411">
        <f t="shared" si="15"/>
        <v>0</v>
      </c>
      <c r="I32" s="433">
        <f t="shared" si="16"/>
        <v>0</v>
      </c>
      <c r="J32" s="549">
        <v>0</v>
      </c>
      <c r="K32" s="549">
        <v>0</v>
      </c>
      <c r="L32" s="433">
        <f t="shared" si="17"/>
        <v>0</v>
      </c>
      <c r="Z32" s="362" t="s">
        <v>869</v>
      </c>
      <c r="AA32" s="257">
        <v>2</v>
      </c>
    </row>
    <row r="33" spans="1:38" customFormat="1" ht="18" customHeight="1" x14ac:dyDescent="0.25">
      <c r="B33" s="1" t="s">
        <v>702</v>
      </c>
      <c r="C33" s="409">
        <f t="shared" si="13"/>
        <v>0</v>
      </c>
      <c r="D33" s="409">
        <f t="shared" si="14"/>
        <v>0</v>
      </c>
      <c r="E33" s="450"/>
      <c r="F33" s="451"/>
      <c r="G33" s="450"/>
      <c r="H33" s="411">
        <f t="shared" si="15"/>
        <v>0</v>
      </c>
      <c r="I33" s="433">
        <f t="shared" si="16"/>
        <v>0</v>
      </c>
      <c r="J33" s="549">
        <v>0</v>
      </c>
      <c r="K33" s="549">
        <v>0</v>
      </c>
      <c r="L33" s="433">
        <f t="shared" si="17"/>
        <v>0</v>
      </c>
      <c r="Z33" s="362" t="s">
        <v>870</v>
      </c>
      <c r="AA33" s="256">
        <v>28</v>
      </c>
    </row>
    <row r="34" spans="1:38" customFormat="1" ht="18" customHeight="1" x14ac:dyDescent="0.25">
      <c r="B34" s="1" t="s">
        <v>703</v>
      </c>
      <c r="C34" s="409">
        <f t="shared" si="13"/>
        <v>0</v>
      </c>
      <c r="D34" s="409">
        <f t="shared" si="14"/>
        <v>0</v>
      </c>
      <c r="E34" s="450"/>
      <c r="F34" s="451"/>
      <c r="G34" s="450"/>
      <c r="H34" s="411">
        <f t="shared" si="15"/>
        <v>0</v>
      </c>
      <c r="I34" s="433">
        <f t="shared" si="16"/>
        <v>0</v>
      </c>
      <c r="J34" s="549">
        <v>0</v>
      </c>
      <c r="K34" s="549">
        <v>0</v>
      </c>
      <c r="L34" s="433">
        <f t="shared" si="17"/>
        <v>0</v>
      </c>
      <c r="Z34" s="362" t="s">
        <v>993</v>
      </c>
      <c r="AA34" s="411">
        <f>IF(AA30&gt;0,AA30*AA31*AA32/AA33,0)</f>
        <v>1019.5019140112048</v>
      </c>
    </row>
    <row r="35" spans="1:38" customFormat="1" ht="18" customHeight="1" thickBot="1" x14ac:dyDescent="0.3">
      <c r="B35" s="419"/>
      <c r="C35" s="419"/>
      <c r="D35" s="419"/>
      <c r="E35" s="419"/>
      <c r="F35" s="419"/>
      <c r="G35" s="419"/>
      <c r="H35" s="440">
        <f>SUM(H29:H34)</f>
        <v>988.26986499159227</v>
      </c>
      <c r="I35" s="419"/>
      <c r="J35" s="440">
        <f>SUM(J29:J34)</f>
        <v>0</v>
      </c>
      <c r="K35" s="419"/>
      <c r="L35" s="440">
        <f>SUM(L29:L34)</f>
        <v>0</v>
      </c>
      <c r="Z35" s="362" t="s">
        <v>871</v>
      </c>
      <c r="AA35" s="433">
        <f>IF(AA30&gt;0,AA34/AA30,0)</f>
        <v>14.285714285714286</v>
      </c>
    </row>
    <row r="36" spans="1:38" customFormat="1" ht="18" customHeight="1" thickTop="1" x14ac:dyDescent="0.2"/>
    <row r="37" spans="1:38" customFormat="1" ht="18" customHeight="1" x14ac:dyDescent="0.2"/>
    <row r="38" spans="1:38" customFormat="1" ht="18" customHeight="1" x14ac:dyDescent="0.25">
      <c r="B38" s="5" t="s">
        <v>392</v>
      </c>
      <c r="C38" s="1"/>
      <c r="D38" s="1"/>
      <c r="E38" s="1"/>
      <c r="F38" s="1"/>
      <c r="G38" s="1"/>
      <c r="H38" s="1"/>
      <c r="I38" s="1"/>
      <c r="J38" s="1"/>
      <c r="K38" s="1"/>
      <c r="L38" s="419"/>
      <c r="M38" s="419"/>
      <c r="N38" s="419"/>
      <c r="O38" s="419"/>
      <c r="P38" s="419"/>
    </row>
    <row r="39" spans="1:38" ht="18" customHeight="1" x14ac:dyDescent="0.2">
      <c r="A39" s="1"/>
      <c r="B39" s="1"/>
      <c r="C39" s="1"/>
      <c r="D39" s="1"/>
      <c r="E39" s="1"/>
      <c r="F39" s="1"/>
      <c r="G39" s="1"/>
      <c r="H39" s="1"/>
      <c r="I39" s="1"/>
      <c r="J39" s="1"/>
      <c r="K39" s="1"/>
      <c r="Q39" s="1"/>
      <c r="R39" s="1"/>
      <c r="S39" s="1"/>
      <c r="T39" s="1"/>
      <c r="U39" s="1"/>
      <c r="V39" s="1"/>
      <c r="W39" s="1"/>
      <c r="X39" s="1"/>
      <c r="AA39" s="419"/>
    </row>
    <row r="40" spans="1:38" ht="28.5" customHeight="1" x14ac:dyDescent="0.2">
      <c r="A40" s="1"/>
      <c r="B40" s="1"/>
      <c r="C40" s="407" t="s">
        <v>720</v>
      </c>
      <c r="D40" s="408" t="s">
        <v>883</v>
      </c>
      <c r="E40" s="408" t="s">
        <v>884</v>
      </c>
      <c r="F40" s="408" t="s">
        <v>885</v>
      </c>
      <c r="G40" s="408" t="s">
        <v>886</v>
      </c>
      <c r="H40" s="408" t="s">
        <v>887</v>
      </c>
      <c r="I40" s="408" t="s">
        <v>888</v>
      </c>
      <c r="J40" s="408" t="s">
        <v>889</v>
      </c>
      <c r="K40" s="408" t="s">
        <v>395</v>
      </c>
      <c r="L40" s="408" t="s">
        <v>337</v>
      </c>
      <c r="M40" s="408" t="s">
        <v>993</v>
      </c>
      <c r="X40" s="1"/>
      <c r="Y40" s="1"/>
      <c r="AA40" s="419"/>
    </row>
    <row r="41" spans="1:38" ht="18" customHeight="1" x14ac:dyDescent="0.2">
      <c r="A41" s="1"/>
      <c r="B41" s="1" t="s">
        <v>698</v>
      </c>
      <c r="C41" s="409">
        <f t="shared" ref="C41:C46" si="18">D16</f>
        <v>71.365133980784336</v>
      </c>
      <c r="D41" s="410"/>
      <c r="E41" s="410"/>
      <c r="F41" s="410"/>
      <c r="G41" s="410">
        <v>0.38</v>
      </c>
      <c r="H41" s="410"/>
      <c r="I41" s="410"/>
      <c r="J41" s="410"/>
      <c r="K41" s="410"/>
      <c r="L41" s="410"/>
      <c r="M41" s="411">
        <f t="shared" ref="M41:M46" si="19">SUM(D41:L41)*C41</f>
        <v>27.118750912698047</v>
      </c>
      <c r="X41" s="1"/>
      <c r="AA41" s="419"/>
      <c r="AB41" s="419"/>
      <c r="AC41" s="419"/>
      <c r="AD41" s="419"/>
      <c r="AE41" s="419"/>
      <c r="AF41" s="419"/>
    </row>
    <row r="42" spans="1:38" ht="18" customHeight="1" x14ac:dyDescent="0.2">
      <c r="A42" s="1"/>
      <c r="B42" s="1" t="s">
        <v>699</v>
      </c>
      <c r="C42" s="409">
        <f t="shared" si="18"/>
        <v>0</v>
      </c>
      <c r="D42" s="410"/>
      <c r="E42" s="410"/>
      <c r="F42" s="410"/>
      <c r="G42" s="410"/>
      <c r="H42" s="410"/>
      <c r="I42" s="410"/>
      <c r="J42" s="410"/>
      <c r="K42" s="410"/>
      <c r="L42" s="410"/>
      <c r="M42" s="411">
        <f t="shared" si="19"/>
        <v>0</v>
      </c>
      <c r="X42" s="1"/>
      <c r="AA42" s="419"/>
      <c r="AB42" s="419"/>
      <c r="AC42" s="419"/>
      <c r="AD42" s="419"/>
      <c r="AE42" s="419"/>
      <c r="AF42" s="419"/>
    </row>
    <row r="43" spans="1:38" ht="18" customHeight="1" x14ac:dyDescent="0.2">
      <c r="A43" s="1"/>
      <c r="B43" s="1" t="s">
        <v>700</v>
      </c>
      <c r="C43" s="409">
        <f t="shared" si="18"/>
        <v>0</v>
      </c>
      <c r="D43" s="410"/>
      <c r="E43" s="410"/>
      <c r="F43" s="410"/>
      <c r="G43" s="410"/>
      <c r="H43" s="410"/>
      <c r="I43" s="410"/>
      <c r="J43" s="410"/>
      <c r="K43" s="410"/>
      <c r="L43" s="410"/>
      <c r="M43" s="411">
        <f t="shared" si="19"/>
        <v>0</v>
      </c>
      <c r="X43" s="1"/>
      <c r="AA43" s="419"/>
      <c r="AB43" s="419"/>
      <c r="AC43" s="419"/>
      <c r="AD43" s="419"/>
      <c r="AE43" s="419"/>
      <c r="AF43" s="419"/>
    </row>
    <row r="44" spans="1:38" ht="18" customHeight="1" x14ac:dyDescent="0.2">
      <c r="A44" s="1"/>
      <c r="B44" s="1" t="s">
        <v>701</v>
      </c>
      <c r="C44" s="409">
        <f t="shared" si="18"/>
        <v>0</v>
      </c>
      <c r="D44" s="410"/>
      <c r="E44" s="410"/>
      <c r="F44" s="410"/>
      <c r="G44" s="410"/>
      <c r="H44" s="410"/>
      <c r="I44" s="410"/>
      <c r="J44" s="410"/>
      <c r="K44" s="410"/>
      <c r="L44" s="410"/>
      <c r="M44" s="411">
        <f t="shared" si="19"/>
        <v>0</v>
      </c>
      <c r="X44" s="1"/>
      <c r="AA44" s="419"/>
      <c r="AB44" s="419"/>
      <c r="AC44" s="419"/>
      <c r="AD44" s="419"/>
      <c r="AE44" s="419"/>
      <c r="AF44" s="419"/>
    </row>
    <row r="45" spans="1:38" ht="18" customHeight="1" x14ac:dyDescent="0.2">
      <c r="A45" s="1"/>
      <c r="B45" s="1" t="s">
        <v>702</v>
      </c>
      <c r="C45" s="409">
        <f t="shared" si="18"/>
        <v>0</v>
      </c>
      <c r="D45" s="410"/>
      <c r="E45" s="410"/>
      <c r="F45" s="410"/>
      <c r="G45" s="410"/>
      <c r="H45" s="410"/>
      <c r="I45" s="410"/>
      <c r="J45" s="410"/>
      <c r="K45" s="410"/>
      <c r="L45" s="410"/>
      <c r="M45" s="411">
        <f t="shared" si="19"/>
        <v>0</v>
      </c>
      <c r="X45" s="1"/>
      <c r="AA45" s="419"/>
      <c r="AB45" s="419"/>
      <c r="AC45" s="419"/>
      <c r="AD45" s="419"/>
      <c r="AE45" s="419"/>
      <c r="AF45" s="419"/>
      <c r="AL45" s="444"/>
    </row>
    <row r="46" spans="1:38" ht="18" customHeight="1" x14ac:dyDescent="0.2">
      <c r="A46" s="1"/>
      <c r="B46" s="1" t="s">
        <v>703</v>
      </c>
      <c r="C46" s="409">
        <f t="shared" si="18"/>
        <v>0</v>
      </c>
      <c r="D46" s="410"/>
      <c r="E46" s="410"/>
      <c r="F46" s="410"/>
      <c r="G46" s="410"/>
      <c r="H46" s="410"/>
      <c r="I46" s="410"/>
      <c r="J46" s="410"/>
      <c r="K46" s="410"/>
      <c r="L46" s="410"/>
      <c r="M46" s="411">
        <f t="shared" si="19"/>
        <v>0</v>
      </c>
      <c r="X46" s="1"/>
      <c r="AA46" s="419"/>
      <c r="AB46" s="419"/>
      <c r="AC46" s="419"/>
      <c r="AD46" s="419"/>
      <c r="AE46" s="419"/>
      <c r="AF46" s="419"/>
      <c r="AK46" s="444"/>
      <c r="AL46" s="444"/>
    </row>
    <row r="47" spans="1:38" ht="18" customHeight="1" x14ac:dyDescent="0.2">
      <c r="A47" s="1"/>
      <c r="B47" s="1"/>
      <c r="C47" s="1"/>
      <c r="D47" s="412">
        <f t="shared" ref="D47:L47" si="20">SUMPRODUCT($C$41:$C$46,D41:D46)</f>
        <v>0</v>
      </c>
      <c r="E47" s="412">
        <f t="shared" si="20"/>
        <v>0</v>
      </c>
      <c r="F47" s="412">
        <f t="shared" si="20"/>
        <v>0</v>
      </c>
      <c r="G47" s="412">
        <f t="shared" si="20"/>
        <v>27.118750912698047</v>
      </c>
      <c r="H47" s="412">
        <f t="shared" si="20"/>
        <v>0</v>
      </c>
      <c r="I47" s="412">
        <f t="shared" si="20"/>
        <v>0</v>
      </c>
      <c r="J47" s="412">
        <f t="shared" si="20"/>
        <v>0</v>
      </c>
      <c r="K47" s="412">
        <f t="shared" si="20"/>
        <v>0</v>
      </c>
      <c r="L47" s="412">
        <f t="shared" si="20"/>
        <v>0</v>
      </c>
      <c r="M47" s="411">
        <f>SUM(M41:M46)</f>
        <v>27.118750912698047</v>
      </c>
      <c r="X47" s="1"/>
      <c r="AA47" s="419"/>
      <c r="AB47" s="419"/>
      <c r="AC47" s="419"/>
      <c r="AD47" s="419"/>
      <c r="AE47" s="419"/>
      <c r="AF47" s="419"/>
      <c r="AK47" s="444"/>
      <c r="AL47" s="444"/>
    </row>
    <row r="48" spans="1:38" ht="18" customHeight="1" x14ac:dyDescent="0.2">
      <c r="A48" s="1"/>
      <c r="Q48" s="1"/>
      <c r="R48" s="1"/>
      <c r="S48" s="1"/>
      <c r="T48" s="1"/>
      <c r="U48" s="1"/>
      <c r="V48" s="1"/>
      <c r="W48" s="1"/>
      <c r="X48" s="1"/>
      <c r="AA48" s="419"/>
      <c r="AB48" s="419"/>
      <c r="AC48" s="419"/>
      <c r="AD48" s="419"/>
      <c r="AE48" s="419"/>
      <c r="AF48" s="419"/>
      <c r="AK48" s="444"/>
      <c r="AL48" s="444"/>
    </row>
    <row r="49" spans="1:38" ht="18" customHeight="1" x14ac:dyDescent="0.2">
      <c r="A49" s="1"/>
      <c r="Q49" s="1"/>
      <c r="R49" s="1"/>
      <c r="S49" s="1"/>
      <c r="T49" s="1"/>
      <c r="U49" s="1"/>
      <c r="V49" s="1"/>
      <c r="W49" s="1"/>
      <c r="X49" s="1"/>
      <c r="AA49" s="419"/>
      <c r="AB49" s="419"/>
      <c r="AC49" s="419"/>
      <c r="AD49" s="419"/>
      <c r="AE49" s="419"/>
      <c r="AF49" s="419"/>
      <c r="AK49" s="444"/>
      <c r="AL49" s="444"/>
    </row>
    <row r="50" spans="1:38" ht="18" customHeight="1" x14ac:dyDescent="0.2">
      <c r="A50" s="1"/>
      <c r="Q50" s="1"/>
      <c r="R50" s="1"/>
      <c r="S50" s="1"/>
      <c r="T50" s="1"/>
      <c r="U50" s="1"/>
      <c r="V50" s="1"/>
      <c r="W50" s="1"/>
      <c r="X50" s="1"/>
      <c r="AA50" s="419"/>
      <c r="AB50" s="419"/>
      <c r="AC50" s="419"/>
      <c r="AD50" s="419"/>
      <c r="AE50" s="419"/>
      <c r="AF50" s="419"/>
      <c r="AK50" s="444"/>
      <c r="AL50" s="444"/>
    </row>
    <row r="51" spans="1:38" ht="18" customHeight="1" x14ac:dyDescent="0.25">
      <c r="A51" s="1"/>
      <c r="B51" s="5" t="s">
        <v>401</v>
      </c>
      <c r="C51"/>
      <c r="D51"/>
      <c r="E51"/>
      <c r="F51"/>
      <c r="G51"/>
      <c r="H51"/>
      <c r="I51"/>
      <c r="J51"/>
      <c r="K51"/>
      <c r="L51"/>
      <c r="M51"/>
      <c r="N51"/>
      <c r="O51"/>
      <c r="P51"/>
      <c r="Q51" s="1"/>
      <c r="R51" s="1"/>
      <c r="S51" s="1"/>
      <c r="T51" s="1"/>
      <c r="U51" s="1"/>
      <c r="V51" s="1"/>
      <c r="W51" s="1"/>
      <c r="X51" s="1"/>
      <c r="AA51" s="419"/>
      <c r="AB51" s="419"/>
      <c r="AC51" s="419"/>
      <c r="AD51" s="419"/>
      <c r="AE51" s="419"/>
      <c r="AF51" s="419"/>
      <c r="AK51" s="444"/>
      <c r="AL51" s="444"/>
    </row>
    <row r="52" spans="1:38" ht="18" customHeight="1" x14ac:dyDescent="0.25">
      <c r="A52" s="1"/>
      <c r="B52" s="5"/>
      <c r="C52" s="1"/>
      <c r="D52" s="1"/>
      <c r="E52" s="1"/>
      <c r="F52" s="1"/>
      <c r="G52" s="1"/>
      <c r="H52" s="1"/>
      <c r="I52" s="1"/>
      <c r="J52" s="1"/>
      <c r="K52" s="1"/>
      <c r="L52" s="1"/>
      <c r="M52" s="1"/>
      <c r="N52" s="1"/>
      <c r="O52" s="1"/>
      <c r="P52" s="1"/>
      <c r="Q52" s="1"/>
      <c r="R52" s="1"/>
      <c r="S52" s="1"/>
      <c r="T52" s="1"/>
      <c r="U52" s="1"/>
      <c r="V52" s="1"/>
      <c r="W52" s="1"/>
      <c r="X52" s="1"/>
      <c r="AA52" s="419"/>
      <c r="AB52" s="419"/>
      <c r="AC52" s="419"/>
      <c r="AD52" s="419"/>
      <c r="AE52" s="419"/>
      <c r="AF52" s="419"/>
      <c r="AK52" s="444"/>
      <c r="AL52" s="444"/>
    </row>
    <row r="53" spans="1:38" ht="30" x14ac:dyDescent="0.2">
      <c r="A53" s="1"/>
      <c r="B53" s="1"/>
      <c r="C53" s="407" t="s">
        <v>704</v>
      </c>
      <c r="D53" s="407" t="s">
        <v>824</v>
      </c>
      <c r="E53" s="407" t="s">
        <v>705</v>
      </c>
      <c r="F53" s="407" t="s">
        <v>378</v>
      </c>
      <c r="G53" s="407" t="s">
        <v>379</v>
      </c>
      <c r="H53" s="407" t="s">
        <v>706</v>
      </c>
      <c r="I53" s="407" t="s">
        <v>380</v>
      </c>
      <c r="J53" s="407" t="s">
        <v>850</v>
      </c>
      <c r="K53" s="407" t="s">
        <v>707</v>
      </c>
      <c r="L53" s="407" t="s">
        <v>708</v>
      </c>
      <c r="M53" s="407" t="s">
        <v>855</v>
      </c>
      <c r="N53" s="407" t="s">
        <v>851</v>
      </c>
      <c r="O53" s="407" t="s">
        <v>856</v>
      </c>
      <c r="Q53" s="1"/>
      <c r="R53" s="1"/>
      <c r="S53" s="1"/>
      <c r="T53" s="1"/>
      <c r="U53" s="1"/>
      <c r="V53" s="1"/>
      <c r="W53" s="1"/>
      <c r="X53" s="1"/>
      <c r="AA53" s="419"/>
      <c r="AB53" s="419"/>
      <c r="AC53" s="419"/>
      <c r="AD53" s="419"/>
      <c r="AE53" s="419"/>
      <c r="AF53" s="419"/>
      <c r="AK53" s="444"/>
      <c r="AL53" s="444"/>
    </row>
    <row r="54" spans="1:38" ht="18" customHeight="1" x14ac:dyDescent="0.2">
      <c r="A54" s="1"/>
      <c r="B54" s="1" t="s">
        <v>698</v>
      </c>
      <c r="C54" s="431">
        <f>C16+216</f>
        <v>41856</v>
      </c>
      <c r="D54" s="409">
        <f t="shared" ref="D54:D59" si="21">C54-C16</f>
        <v>216</v>
      </c>
      <c r="E54" s="429">
        <v>596</v>
      </c>
      <c r="F54" s="409">
        <f t="shared" ref="F54:F59" si="22">E54-F16</f>
        <v>129.60000000000002</v>
      </c>
      <c r="G54" s="413">
        <f t="shared" ref="G54:G59" si="23">IF(F54&lt;=0,0,F54/D54)</f>
        <v>0.60000000000000009</v>
      </c>
      <c r="H54" s="441">
        <f>D16</f>
        <v>71.365133980784336</v>
      </c>
      <c r="I54" s="421">
        <f t="shared" ref="I54:I59" si="24">IF(H54&lt;=0,0,(H54-D16)/D16)</f>
        <v>0</v>
      </c>
      <c r="J54" s="442">
        <v>1.6639999999999999</v>
      </c>
      <c r="K54" s="550">
        <f t="shared" ref="K54:K59" si="25">J54*E54</f>
        <v>991.74399999999991</v>
      </c>
      <c r="L54" s="411">
        <f t="shared" ref="L54:L59" si="26">K54*H54</f>
        <v>70775.943434638975</v>
      </c>
      <c r="M54" s="409">
        <f t="shared" ref="M54:M59" si="27">E54*H54</f>
        <v>42533.619852547461</v>
      </c>
      <c r="N54" s="415">
        <v>0.52</v>
      </c>
      <c r="O54" s="409">
        <f t="shared" ref="O54:O59" si="28">N54*M54</f>
        <v>22117.482323324679</v>
      </c>
      <c r="Q54" s="1"/>
      <c r="R54" s="1"/>
      <c r="S54" s="1"/>
      <c r="T54" s="1"/>
      <c r="U54" s="1"/>
      <c r="V54" s="1"/>
      <c r="W54" s="1"/>
      <c r="X54" s="1"/>
      <c r="AA54" s="419"/>
      <c r="AB54" s="419"/>
      <c r="AC54" s="419"/>
      <c r="AD54" s="419"/>
      <c r="AE54" s="419"/>
      <c r="AF54" s="419"/>
      <c r="AK54" s="444"/>
      <c r="AL54" s="444"/>
    </row>
    <row r="55" spans="1:38" ht="18" customHeight="1" x14ac:dyDescent="0.2">
      <c r="A55" s="1"/>
      <c r="B55" s="1" t="s">
        <v>699</v>
      </c>
      <c r="C55" s="431"/>
      <c r="D55" s="409">
        <f t="shared" si="21"/>
        <v>0</v>
      </c>
      <c r="E55" s="429"/>
      <c r="F55" s="409">
        <f t="shared" si="22"/>
        <v>0</v>
      </c>
      <c r="G55" s="413">
        <f t="shared" si="23"/>
        <v>0</v>
      </c>
      <c r="H55" s="435"/>
      <c r="I55" s="421">
        <f t="shared" si="24"/>
        <v>0</v>
      </c>
      <c r="J55" s="442"/>
      <c r="K55" s="550">
        <f t="shared" si="25"/>
        <v>0</v>
      </c>
      <c r="L55" s="411">
        <f t="shared" si="26"/>
        <v>0</v>
      </c>
      <c r="M55" s="409">
        <f t="shared" si="27"/>
        <v>0</v>
      </c>
      <c r="N55" s="415">
        <v>0.52</v>
      </c>
      <c r="O55" s="409">
        <f t="shared" si="28"/>
        <v>0</v>
      </c>
      <c r="Q55" s="1"/>
      <c r="R55" s="1"/>
      <c r="S55" s="1"/>
      <c r="T55" s="1"/>
      <c r="U55" s="1"/>
      <c r="V55" s="1"/>
      <c r="W55" s="1"/>
      <c r="X55" s="1"/>
      <c r="AA55" s="419"/>
      <c r="AB55" s="419"/>
      <c r="AC55" s="419"/>
      <c r="AD55" s="419"/>
      <c r="AE55" s="419"/>
      <c r="AF55" s="419"/>
      <c r="AK55" s="444"/>
      <c r="AL55" s="444"/>
    </row>
    <row r="56" spans="1:38" x14ac:dyDescent="0.2">
      <c r="A56" s="1"/>
      <c r="B56" s="1" t="s">
        <v>700</v>
      </c>
      <c r="C56" s="431"/>
      <c r="D56" s="409">
        <f t="shared" si="21"/>
        <v>0</v>
      </c>
      <c r="E56" s="429"/>
      <c r="F56" s="409">
        <f t="shared" si="22"/>
        <v>0</v>
      </c>
      <c r="G56" s="413">
        <f t="shared" si="23"/>
        <v>0</v>
      </c>
      <c r="H56" s="435"/>
      <c r="I56" s="421">
        <f t="shared" si="24"/>
        <v>0</v>
      </c>
      <c r="J56" s="442"/>
      <c r="K56" s="550">
        <f t="shared" si="25"/>
        <v>0</v>
      </c>
      <c r="L56" s="411">
        <f t="shared" si="26"/>
        <v>0</v>
      </c>
      <c r="M56" s="409">
        <f t="shared" si="27"/>
        <v>0</v>
      </c>
      <c r="N56" s="415">
        <v>0.52</v>
      </c>
      <c r="O56" s="409">
        <f t="shared" si="28"/>
        <v>0</v>
      </c>
      <c r="Q56" s="1"/>
      <c r="R56" s="1"/>
      <c r="S56" s="1"/>
      <c r="T56" s="1"/>
      <c r="U56" s="1"/>
      <c r="V56" s="1"/>
      <c r="W56" s="1"/>
      <c r="X56" s="1"/>
      <c r="AA56" s="419"/>
      <c r="AB56" s="419"/>
      <c r="AC56" s="419"/>
      <c r="AD56" s="419"/>
      <c r="AE56" s="419"/>
      <c r="AF56" s="419"/>
      <c r="AK56" s="444"/>
      <c r="AL56" s="444"/>
    </row>
    <row r="57" spans="1:38" ht="18" customHeight="1" x14ac:dyDescent="0.2">
      <c r="A57" s="1"/>
      <c r="B57" s="1" t="s">
        <v>701</v>
      </c>
      <c r="C57" s="431"/>
      <c r="D57" s="409">
        <f t="shared" si="21"/>
        <v>0</v>
      </c>
      <c r="E57" s="435"/>
      <c r="F57" s="409">
        <f t="shared" si="22"/>
        <v>0</v>
      </c>
      <c r="G57" s="413">
        <f t="shared" si="23"/>
        <v>0</v>
      </c>
      <c r="H57" s="435"/>
      <c r="I57" s="421">
        <f t="shared" si="24"/>
        <v>0</v>
      </c>
      <c r="J57" s="442"/>
      <c r="K57" s="550">
        <f t="shared" si="25"/>
        <v>0</v>
      </c>
      <c r="L57" s="411">
        <f t="shared" si="26"/>
        <v>0</v>
      </c>
      <c r="M57" s="409">
        <f t="shared" si="27"/>
        <v>0</v>
      </c>
      <c r="N57" s="415">
        <v>0.52</v>
      </c>
      <c r="O57" s="409">
        <f t="shared" si="28"/>
        <v>0</v>
      </c>
      <c r="Q57" s="1"/>
      <c r="R57" s="1"/>
      <c r="S57" s="1"/>
      <c r="T57" s="1"/>
      <c r="U57" s="1"/>
      <c r="V57" s="1"/>
      <c r="W57" s="1"/>
      <c r="X57" s="1"/>
      <c r="AA57" s="419"/>
      <c r="AB57" s="419"/>
      <c r="AC57" s="419"/>
      <c r="AD57" s="419"/>
      <c r="AE57" s="419"/>
      <c r="AF57" s="419"/>
      <c r="AK57" s="444"/>
      <c r="AL57" s="444"/>
    </row>
    <row r="58" spans="1:38" ht="18" customHeight="1" x14ac:dyDescent="0.2">
      <c r="A58" s="1"/>
      <c r="B58" s="1" t="s">
        <v>702</v>
      </c>
      <c r="C58" s="431"/>
      <c r="D58" s="409">
        <f t="shared" si="21"/>
        <v>0</v>
      </c>
      <c r="E58" s="435"/>
      <c r="F58" s="409">
        <f t="shared" si="22"/>
        <v>0</v>
      </c>
      <c r="G58" s="413">
        <f t="shared" si="23"/>
        <v>0</v>
      </c>
      <c r="H58" s="435"/>
      <c r="I58" s="421">
        <f t="shared" si="24"/>
        <v>0</v>
      </c>
      <c r="J58" s="442"/>
      <c r="K58" s="550">
        <f t="shared" si="25"/>
        <v>0</v>
      </c>
      <c r="L58" s="411">
        <f t="shared" si="26"/>
        <v>0</v>
      </c>
      <c r="M58" s="409">
        <f t="shared" si="27"/>
        <v>0</v>
      </c>
      <c r="N58" s="415">
        <v>0.52</v>
      </c>
      <c r="O58" s="409">
        <f t="shared" si="28"/>
        <v>0</v>
      </c>
      <c r="Q58" s="1"/>
      <c r="R58" s="1"/>
      <c r="S58" s="1"/>
      <c r="T58" s="1"/>
      <c r="U58" s="1"/>
      <c r="V58" s="1"/>
      <c r="W58" s="1"/>
      <c r="X58" s="1"/>
      <c r="AA58" s="419"/>
      <c r="AB58" s="419"/>
      <c r="AC58" s="419"/>
      <c r="AD58" s="419"/>
      <c r="AE58" s="419"/>
      <c r="AF58" s="419"/>
      <c r="AK58" s="444"/>
      <c r="AL58" s="444"/>
    </row>
    <row r="59" spans="1:38" ht="18" customHeight="1" x14ac:dyDescent="0.2">
      <c r="A59" s="1"/>
      <c r="B59" s="1" t="s">
        <v>703</v>
      </c>
      <c r="C59" s="431"/>
      <c r="D59" s="409">
        <f t="shared" si="21"/>
        <v>0</v>
      </c>
      <c r="E59" s="435"/>
      <c r="F59" s="409">
        <f t="shared" si="22"/>
        <v>0</v>
      </c>
      <c r="G59" s="413">
        <f t="shared" si="23"/>
        <v>0</v>
      </c>
      <c r="H59" s="435"/>
      <c r="I59" s="421">
        <f t="shared" si="24"/>
        <v>0</v>
      </c>
      <c r="J59" s="442"/>
      <c r="K59" s="550">
        <f t="shared" si="25"/>
        <v>0</v>
      </c>
      <c r="L59" s="411">
        <f t="shared" si="26"/>
        <v>0</v>
      </c>
      <c r="M59" s="409">
        <f t="shared" si="27"/>
        <v>0</v>
      </c>
      <c r="N59" s="415">
        <v>0.52</v>
      </c>
      <c r="O59" s="409">
        <f t="shared" si="28"/>
        <v>0</v>
      </c>
      <c r="Q59" s="1"/>
      <c r="R59" s="1"/>
      <c r="S59" s="1"/>
      <c r="T59" s="1"/>
      <c r="U59" s="1"/>
      <c r="V59" s="1"/>
      <c r="W59" s="1"/>
      <c r="X59" s="1"/>
      <c r="AA59" s="419"/>
      <c r="AB59" s="419"/>
      <c r="AC59" s="419"/>
      <c r="AD59" s="419"/>
      <c r="AE59" s="419"/>
      <c r="AF59" s="419"/>
      <c r="AK59" s="444"/>
      <c r="AL59" s="444"/>
    </row>
    <row r="60" spans="1:38" ht="18" customHeight="1" thickBot="1" x14ac:dyDescent="0.25">
      <c r="A60" s="1"/>
      <c r="B60" s="1"/>
      <c r="C60" s="1"/>
      <c r="D60" s="1"/>
      <c r="E60" s="439">
        <f>SUMPRODUCT(E54:E59,H54:H59)</f>
        <v>42533.619852547461</v>
      </c>
      <c r="F60" s="1"/>
      <c r="G60" s="1"/>
      <c r="I60" s="1"/>
      <c r="J60" s="1"/>
      <c r="K60" s="1" t="s">
        <v>993</v>
      </c>
      <c r="L60" s="440">
        <f>SUM(L54:L59)</f>
        <v>70775.943434638975</v>
      </c>
      <c r="M60" s="439">
        <f>SUM(M54:M59)</f>
        <v>42533.619852547461</v>
      </c>
      <c r="O60" s="439">
        <f>SUM(O54:O59)</f>
        <v>22117.482323324679</v>
      </c>
      <c r="Q60" s="1"/>
      <c r="R60" s="1"/>
      <c r="S60" s="1"/>
      <c r="T60" s="1"/>
      <c r="U60" s="1"/>
      <c r="V60" s="1"/>
      <c r="W60" s="1"/>
      <c r="X60" s="1"/>
      <c r="AA60" s="419"/>
      <c r="AB60" s="419"/>
      <c r="AC60" s="419"/>
      <c r="AD60" s="419"/>
      <c r="AE60" s="419"/>
      <c r="AF60" s="419"/>
      <c r="AK60" s="444"/>
      <c r="AL60" s="444"/>
    </row>
    <row r="61" spans="1:38" ht="18" customHeight="1" thickTop="1" x14ac:dyDescent="0.2">
      <c r="A61" s="1"/>
      <c r="B61" s="1"/>
      <c r="C61" s="1"/>
      <c r="D61" s="1"/>
      <c r="E61" s="1"/>
      <c r="F61" s="1"/>
      <c r="G61" s="1"/>
      <c r="H61" s="1"/>
      <c r="I61" s="1"/>
      <c r="J61" s="1"/>
      <c r="K61" s="1"/>
      <c r="L61" s="12" t="s">
        <v>562</v>
      </c>
      <c r="M61" s="481">
        <f>F22</f>
        <v>33284.698488637812</v>
      </c>
      <c r="N61" s="1"/>
      <c r="O61" s="481">
        <f>M61*O60/M60</f>
        <v>17308.043214091664</v>
      </c>
      <c r="P61" s="1"/>
      <c r="Q61" s="1"/>
      <c r="R61" s="1"/>
      <c r="S61" s="1"/>
      <c r="T61" s="1"/>
      <c r="U61" s="1"/>
      <c r="V61" s="1"/>
      <c r="W61" s="1"/>
      <c r="X61" s="1"/>
      <c r="AA61" s="419"/>
      <c r="AB61" s="419"/>
      <c r="AC61" s="419"/>
      <c r="AD61" s="419"/>
      <c r="AE61" s="419"/>
      <c r="AF61" s="419"/>
      <c r="AK61" s="444"/>
      <c r="AL61" s="444"/>
    </row>
    <row r="62" spans="1:38" ht="18" customHeight="1" x14ac:dyDescent="0.25">
      <c r="A62" s="1"/>
      <c r="L62" s="547" t="s">
        <v>381</v>
      </c>
      <c r="M62" s="556">
        <f>M60-M61</f>
        <v>9248.9213639096488</v>
      </c>
      <c r="N62" s="1" t="s">
        <v>382</v>
      </c>
      <c r="O62" s="556">
        <f>O60-O61</f>
        <v>4809.4391092330152</v>
      </c>
      <c r="P62" s="1" t="s">
        <v>383</v>
      </c>
      <c r="Q62" s="1"/>
      <c r="R62" s="1"/>
      <c r="S62" s="1"/>
      <c r="T62" s="1"/>
      <c r="U62" s="1"/>
      <c r="V62" s="1"/>
      <c r="W62" s="1"/>
      <c r="X62" s="1"/>
      <c r="AA62" s="419"/>
      <c r="AB62" s="419"/>
      <c r="AC62" s="419"/>
      <c r="AD62" s="419"/>
      <c r="AE62" s="419"/>
      <c r="AF62" s="419"/>
      <c r="AK62" s="444"/>
      <c r="AL62" s="444"/>
    </row>
    <row r="63" spans="1:38" ht="18" customHeight="1" x14ac:dyDescent="0.25">
      <c r="A63" s="1"/>
      <c r="B63" s="446"/>
      <c r="L63" s="245"/>
      <c r="M63"/>
      <c r="N63"/>
      <c r="O63"/>
      <c r="P63" s="1"/>
      <c r="Q63" s="1"/>
      <c r="R63" s="1"/>
      <c r="S63" s="1"/>
      <c r="T63" s="1"/>
      <c r="U63" s="1"/>
      <c r="V63" s="1"/>
      <c r="W63" s="1"/>
      <c r="X63" s="1"/>
      <c r="AA63" s="419"/>
      <c r="AB63" s="419"/>
      <c r="AC63" s="419"/>
      <c r="AD63" s="419"/>
      <c r="AE63" s="419"/>
      <c r="AF63" s="419"/>
      <c r="AK63" s="444"/>
      <c r="AL63" s="444"/>
    </row>
    <row r="64" spans="1:38" ht="18" customHeight="1" x14ac:dyDescent="0.25">
      <c r="A64" s="1"/>
      <c r="B64" s="446"/>
      <c r="L64" s="245"/>
      <c r="M64"/>
      <c r="N64"/>
      <c r="O64"/>
      <c r="P64" s="1"/>
      <c r="Q64" s="1"/>
      <c r="R64" s="1"/>
      <c r="S64" s="1"/>
      <c r="T64" s="1"/>
      <c r="U64" s="1"/>
      <c r="V64" s="1"/>
      <c r="W64" s="1"/>
      <c r="X64" s="1"/>
      <c r="AA64" s="419"/>
      <c r="AB64" s="419"/>
      <c r="AC64" s="419"/>
      <c r="AD64" s="419"/>
      <c r="AE64" s="419"/>
      <c r="AF64" s="419"/>
      <c r="AK64" s="444"/>
      <c r="AL64" s="444"/>
    </row>
    <row r="65" spans="1:38" ht="18" customHeight="1" x14ac:dyDescent="0.25">
      <c r="A65" s="1"/>
      <c r="B65" s="446"/>
      <c r="L65" s="245"/>
      <c r="M65"/>
      <c r="N65"/>
      <c r="O65"/>
      <c r="P65" s="1"/>
      <c r="Q65" s="1"/>
      <c r="R65" s="1"/>
      <c r="S65" s="1"/>
      <c r="T65" s="1"/>
      <c r="U65" s="1"/>
      <c r="V65" s="1"/>
      <c r="W65" s="1"/>
      <c r="X65" s="1"/>
      <c r="AA65" s="419"/>
      <c r="AB65" s="419"/>
      <c r="AC65" s="419"/>
      <c r="AD65" s="419"/>
      <c r="AE65" s="419"/>
      <c r="AF65" s="419"/>
      <c r="AK65" s="444"/>
      <c r="AL65" s="444"/>
    </row>
    <row r="66" spans="1:38" ht="18" customHeight="1" x14ac:dyDescent="0.25">
      <c r="A66" s="1"/>
      <c r="B66" s="446" t="s">
        <v>561</v>
      </c>
      <c r="L66" s="245"/>
      <c r="M66"/>
      <c r="N66"/>
      <c r="O66"/>
      <c r="P66" s="1"/>
      <c r="Q66" s="1"/>
      <c r="R66" s="1"/>
      <c r="S66" s="1"/>
      <c r="T66" s="1"/>
      <c r="U66" s="1"/>
      <c r="V66" s="1"/>
      <c r="W66" s="1"/>
      <c r="X66" s="1"/>
      <c r="AA66" s="419"/>
      <c r="AB66" s="419"/>
      <c r="AC66" s="419"/>
      <c r="AD66" s="419"/>
      <c r="AE66" s="419"/>
      <c r="AF66" s="419"/>
      <c r="AK66" s="444"/>
      <c r="AL66" s="444"/>
    </row>
    <row r="67" spans="1:38" ht="18" customHeight="1" x14ac:dyDescent="0.2">
      <c r="A67" s="1"/>
      <c r="M67" s="1"/>
      <c r="N67" s="1"/>
      <c r="O67" s="1"/>
      <c r="P67" s="1"/>
      <c r="Q67" s="1"/>
      <c r="R67" s="1"/>
      <c r="S67" s="1"/>
      <c r="T67" s="1"/>
      <c r="U67" s="1"/>
      <c r="V67" s="1"/>
      <c r="W67" s="1"/>
      <c r="X67" s="1"/>
      <c r="AA67" s="419"/>
      <c r="AB67" s="419"/>
      <c r="AC67" s="419"/>
      <c r="AD67" s="419"/>
      <c r="AE67" s="419"/>
      <c r="AF67" s="419"/>
      <c r="AK67" s="444"/>
      <c r="AL67" s="444"/>
    </row>
    <row r="68" spans="1:38" ht="33" customHeight="1" x14ac:dyDescent="0.2">
      <c r="A68" s="1"/>
      <c r="C68" s="407" t="s">
        <v>709</v>
      </c>
      <c r="D68" s="407" t="s">
        <v>710</v>
      </c>
      <c r="E68" s="407" t="s">
        <v>711</v>
      </c>
      <c r="F68" s="407" t="s">
        <v>712</v>
      </c>
      <c r="G68" s="407" t="s">
        <v>713</v>
      </c>
      <c r="H68" s="407" t="s">
        <v>714</v>
      </c>
      <c r="I68" s="407" t="s">
        <v>715</v>
      </c>
      <c r="J68" s="407" t="s">
        <v>716</v>
      </c>
      <c r="K68" s="407" t="s">
        <v>717</v>
      </c>
      <c r="L68" s="407" t="s">
        <v>718</v>
      </c>
      <c r="M68" s="407" t="s">
        <v>719</v>
      </c>
      <c r="O68" s="1"/>
      <c r="P68" s="1"/>
      <c r="Q68" s="1"/>
      <c r="R68" s="1"/>
      <c r="S68" s="1"/>
      <c r="T68" s="1"/>
      <c r="U68" s="1"/>
      <c r="V68" s="1"/>
      <c r="W68" s="1"/>
      <c r="X68" s="1"/>
      <c r="AA68" s="419"/>
      <c r="AB68" s="419"/>
      <c r="AC68" s="419"/>
      <c r="AD68" s="419"/>
      <c r="AE68" s="419"/>
      <c r="AF68" s="419"/>
      <c r="AK68" s="444"/>
      <c r="AL68" s="444"/>
    </row>
    <row r="69" spans="1:38" ht="18" customHeight="1" x14ac:dyDescent="0.2">
      <c r="A69" s="1"/>
      <c r="B69" s="419" t="str">
        <f t="shared" ref="B69:B74" si="29">B54</f>
        <v>Mob 1</v>
      </c>
      <c r="C69" s="448"/>
      <c r="D69" s="411">
        <f t="shared" ref="D69:D74" si="30">C69*L54</f>
        <v>0</v>
      </c>
      <c r="E69" s="449">
        <v>5</v>
      </c>
      <c r="F69" s="449"/>
      <c r="G69" s="449"/>
      <c r="H69" s="411">
        <f t="shared" ref="H69:H74" si="31">(E69*H54)+(F69*H54)+G69</f>
        <v>356.82566990392166</v>
      </c>
      <c r="I69" s="450">
        <v>421</v>
      </c>
      <c r="J69" s="451">
        <v>1.9</v>
      </c>
      <c r="K69" s="450">
        <v>20</v>
      </c>
      <c r="L69" s="411">
        <f t="shared" ref="L69:L74" si="32">IF(K69=0,0,IF(H54&lt;=0,0,H54*I69*J69/K69))</f>
        <v>2854.2485335614692</v>
      </c>
      <c r="M69" s="433">
        <f t="shared" ref="M69:M74" si="33">IF(L69&lt;=0,0,L69/H54)</f>
        <v>39.994999999999997</v>
      </c>
      <c r="O69" s="1"/>
      <c r="P69" s="1"/>
      <c r="Q69" s="1"/>
      <c r="R69" s="1"/>
      <c r="S69" s="1"/>
      <c r="T69" s="1"/>
      <c r="U69" s="1"/>
      <c r="V69" s="1"/>
      <c r="W69" s="1"/>
      <c r="X69" s="1"/>
      <c r="AA69" s="419"/>
      <c r="AB69" s="419"/>
      <c r="AC69" s="419"/>
      <c r="AD69" s="419"/>
      <c r="AE69" s="419"/>
      <c r="AF69" s="419"/>
      <c r="AK69" s="444"/>
      <c r="AL69" s="444"/>
    </row>
    <row r="70" spans="1:38" ht="18" customHeight="1" x14ac:dyDescent="0.2">
      <c r="A70" s="1"/>
      <c r="B70" s="419" t="str">
        <f t="shared" si="29"/>
        <v>Mob 2</v>
      </c>
      <c r="C70" s="448"/>
      <c r="D70" s="411">
        <f t="shared" si="30"/>
        <v>0</v>
      </c>
      <c r="E70" s="449"/>
      <c r="F70" s="449"/>
      <c r="G70" s="449"/>
      <c r="H70" s="411">
        <f t="shared" si="31"/>
        <v>0</v>
      </c>
      <c r="I70" s="450"/>
      <c r="J70" s="451"/>
      <c r="K70" s="450"/>
      <c r="L70" s="411">
        <f t="shared" si="32"/>
        <v>0</v>
      </c>
      <c r="M70" s="433">
        <f t="shared" si="33"/>
        <v>0</v>
      </c>
      <c r="O70" s="1"/>
      <c r="P70" s="1"/>
      <c r="Q70" s="1"/>
      <c r="R70" s="1"/>
      <c r="S70" s="1"/>
      <c r="T70" s="1"/>
      <c r="U70" s="1"/>
      <c r="V70" s="1"/>
      <c r="W70" s="1"/>
      <c r="X70" s="1"/>
      <c r="AA70" s="419"/>
      <c r="AB70" s="419"/>
      <c r="AC70" s="419"/>
      <c r="AD70" s="419"/>
      <c r="AE70" s="419"/>
      <c r="AF70" s="419"/>
      <c r="AK70" s="444"/>
      <c r="AL70" s="444"/>
    </row>
    <row r="71" spans="1:38" ht="18" customHeight="1" x14ac:dyDescent="0.2">
      <c r="A71" s="1"/>
      <c r="B71" s="419" t="str">
        <f t="shared" si="29"/>
        <v>Mob 3</v>
      </c>
      <c r="C71" s="448"/>
      <c r="D71" s="411">
        <f t="shared" si="30"/>
        <v>0</v>
      </c>
      <c r="E71" s="449"/>
      <c r="F71" s="449"/>
      <c r="G71" s="449"/>
      <c r="H71" s="411">
        <f t="shared" si="31"/>
        <v>0</v>
      </c>
      <c r="I71" s="450"/>
      <c r="J71" s="451"/>
      <c r="K71" s="450"/>
      <c r="L71" s="411">
        <f t="shared" si="32"/>
        <v>0</v>
      </c>
      <c r="M71" s="433">
        <f t="shared" si="33"/>
        <v>0</v>
      </c>
      <c r="O71" s="1"/>
      <c r="P71" s="1"/>
      <c r="Q71" s="1"/>
      <c r="R71" s="1"/>
      <c r="S71" s="1"/>
      <c r="T71" s="1"/>
      <c r="U71" s="1"/>
      <c r="V71" s="1"/>
      <c r="W71" s="1"/>
      <c r="X71" s="1"/>
      <c r="AI71" s="444"/>
      <c r="AJ71" s="444"/>
      <c r="AK71" s="444"/>
      <c r="AL71" s="444"/>
    </row>
    <row r="72" spans="1:38" ht="18" customHeight="1" x14ac:dyDescent="0.2">
      <c r="A72" s="1"/>
      <c r="B72" s="419" t="str">
        <f t="shared" si="29"/>
        <v>Mob 4</v>
      </c>
      <c r="C72" s="448"/>
      <c r="D72" s="411">
        <f t="shared" si="30"/>
        <v>0</v>
      </c>
      <c r="E72" s="449"/>
      <c r="F72" s="449"/>
      <c r="G72" s="449"/>
      <c r="H72" s="411">
        <f t="shared" si="31"/>
        <v>0</v>
      </c>
      <c r="I72" s="450"/>
      <c r="J72" s="451"/>
      <c r="K72" s="450"/>
      <c r="L72" s="411">
        <f t="shared" si="32"/>
        <v>0</v>
      </c>
      <c r="M72" s="433">
        <f t="shared" si="33"/>
        <v>0</v>
      </c>
      <c r="O72" s="1"/>
      <c r="P72" s="1"/>
      <c r="Q72" s="1"/>
      <c r="R72" s="1"/>
      <c r="S72" s="1"/>
      <c r="T72" s="1"/>
      <c r="U72" s="1"/>
      <c r="V72" s="1"/>
      <c r="W72" s="1"/>
      <c r="X72" s="1"/>
      <c r="AI72" s="444"/>
      <c r="AJ72" s="444"/>
      <c r="AK72" s="444"/>
      <c r="AL72" s="444"/>
    </row>
    <row r="73" spans="1:38" ht="18" customHeight="1" x14ac:dyDescent="0.2">
      <c r="A73" s="1"/>
      <c r="B73" s="419" t="str">
        <f t="shared" si="29"/>
        <v>Mob 5</v>
      </c>
      <c r="C73" s="448"/>
      <c r="D73" s="411">
        <f t="shared" si="30"/>
        <v>0</v>
      </c>
      <c r="E73" s="449"/>
      <c r="F73" s="449"/>
      <c r="G73" s="449"/>
      <c r="H73" s="411">
        <f t="shared" si="31"/>
        <v>0</v>
      </c>
      <c r="I73" s="450"/>
      <c r="J73" s="451"/>
      <c r="K73" s="450"/>
      <c r="L73" s="411">
        <f t="shared" si="32"/>
        <v>0</v>
      </c>
      <c r="M73" s="433">
        <f t="shared" si="33"/>
        <v>0</v>
      </c>
      <c r="O73" s="1"/>
      <c r="P73" s="1"/>
      <c r="Q73" s="1"/>
      <c r="R73" s="1"/>
      <c r="S73" s="1"/>
      <c r="T73" s="1"/>
      <c r="U73" s="1"/>
      <c r="V73" s="1"/>
      <c r="W73" s="1"/>
      <c r="X73" s="1"/>
      <c r="Y73"/>
      <c r="Z73"/>
      <c r="AA73"/>
      <c r="AB73"/>
      <c r="AC73"/>
      <c r="AD73"/>
      <c r="AE73"/>
      <c r="AF73"/>
      <c r="AI73" s="444"/>
      <c r="AJ73" s="444"/>
      <c r="AK73" s="444"/>
      <c r="AL73" s="444"/>
    </row>
    <row r="74" spans="1:38" ht="18" customHeight="1" x14ac:dyDescent="0.2">
      <c r="A74" s="1"/>
      <c r="B74" s="419" t="str">
        <f t="shared" si="29"/>
        <v>Mob 6</v>
      </c>
      <c r="C74" s="448"/>
      <c r="D74" s="411">
        <f t="shared" si="30"/>
        <v>0</v>
      </c>
      <c r="E74" s="449"/>
      <c r="F74" s="449"/>
      <c r="G74" s="449"/>
      <c r="H74" s="411">
        <f t="shared" si="31"/>
        <v>0</v>
      </c>
      <c r="I74" s="450"/>
      <c r="J74" s="451"/>
      <c r="K74" s="450"/>
      <c r="L74" s="411">
        <f t="shared" si="32"/>
        <v>0</v>
      </c>
      <c r="M74" s="433">
        <f t="shared" si="33"/>
        <v>0</v>
      </c>
      <c r="O74" s="1"/>
      <c r="P74" s="1"/>
      <c r="Q74" s="1"/>
      <c r="R74" s="1"/>
      <c r="S74" s="1"/>
      <c r="T74" s="1"/>
      <c r="U74" s="1"/>
      <c r="V74" s="1"/>
      <c r="W74" s="1"/>
      <c r="X74" s="1"/>
      <c r="Y74"/>
      <c r="Z74"/>
      <c r="AA74"/>
      <c r="AB74"/>
      <c r="AC74"/>
      <c r="AD74"/>
      <c r="AE74"/>
      <c r="AF74"/>
      <c r="AI74" s="444"/>
      <c r="AJ74" s="444"/>
      <c r="AK74" s="444"/>
      <c r="AL74" s="444"/>
    </row>
    <row r="75" spans="1:38" ht="18" customHeight="1" thickBot="1" x14ac:dyDescent="0.25">
      <c r="A75" s="1"/>
      <c r="C75" s="1"/>
      <c r="D75" s="440">
        <f>SUM(D69:D74)</f>
        <v>0</v>
      </c>
      <c r="E75" s="1"/>
      <c r="F75" s="1"/>
      <c r="G75" s="1"/>
      <c r="H75" s="440">
        <f>SUM(H69:H74)</f>
        <v>356.82566990392166</v>
      </c>
      <c r="I75" s="1"/>
      <c r="J75" s="1"/>
      <c r="K75" s="1"/>
      <c r="L75" s="440">
        <f>SUM(L69:L74)</f>
        <v>2854.2485335614692</v>
      </c>
      <c r="M75" s="1"/>
      <c r="O75" s="1"/>
      <c r="P75" s="1"/>
      <c r="Q75" s="1"/>
      <c r="R75" s="1"/>
      <c r="S75" s="1"/>
      <c r="T75" s="1"/>
      <c r="U75" s="1"/>
      <c r="V75" s="1"/>
      <c r="W75" s="1"/>
      <c r="X75" s="1"/>
      <c r="Y75"/>
      <c r="Z75"/>
      <c r="AA75"/>
      <c r="AB75"/>
      <c r="AC75"/>
      <c r="AD75"/>
      <c r="AE75"/>
      <c r="AF75"/>
      <c r="AI75" s="444"/>
      <c r="AJ75" s="444"/>
      <c r="AK75" s="444"/>
      <c r="AL75" s="444"/>
    </row>
    <row r="76" spans="1:38" ht="18" customHeight="1" thickTop="1" x14ac:dyDescent="0.2">
      <c r="A76" s="1"/>
      <c r="B76" s="1"/>
      <c r="C76" s="1"/>
      <c r="D76" s="1"/>
      <c r="E76" s="1"/>
      <c r="F76" s="1"/>
      <c r="G76" s="1"/>
      <c r="H76" s="1"/>
      <c r="I76" s="1"/>
      <c r="J76" s="1"/>
      <c r="K76" s="1"/>
      <c r="L76" s="1"/>
      <c r="M76" s="1"/>
      <c r="N76" s="1"/>
      <c r="O76" s="1"/>
      <c r="P76" s="1"/>
      <c r="Q76" s="1"/>
      <c r="R76" s="1"/>
      <c r="S76" s="1"/>
      <c r="T76" s="1"/>
      <c r="U76" s="1"/>
      <c r="V76" s="1"/>
      <c r="W76" s="1"/>
      <c r="X76" s="1"/>
      <c r="Y76"/>
      <c r="Z76"/>
      <c r="AA76"/>
      <c r="AB76"/>
      <c r="AC76"/>
      <c r="AD76"/>
      <c r="AE76"/>
      <c r="AF76"/>
      <c r="AI76" s="444"/>
      <c r="AJ76" s="444"/>
      <c r="AK76" s="444"/>
      <c r="AL76" s="444"/>
    </row>
    <row r="77" spans="1:38" ht="18" customHeight="1" x14ac:dyDescent="0.2">
      <c r="A77" s="1"/>
      <c r="L77" s="1"/>
      <c r="M77" s="1"/>
      <c r="N77" s="1"/>
      <c r="O77" s="1"/>
      <c r="P77" s="1"/>
      <c r="Q77" s="1"/>
      <c r="R77" s="1"/>
      <c r="S77" s="1"/>
      <c r="T77" s="1"/>
      <c r="U77" s="1"/>
      <c r="V77" s="1"/>
      <c r="W77" s="1"/>
      <c r="X77" s="1"/>
      <c r="Y77"/>
      <c r="Z77"/>
      <c r="AA77"/>
      <c r="AB77"/>
      <c r="AC77"/>
      <c r="AD77"/>
      <c r="AE77"/>
      <c r="AF77"/>
      <c r="AI77" s="444"/>
      <c r="AJ77" s="444"/>
      <c r="AK77" s="444"/>
      <c r="AL77" s="444"/>
    </row>
    <row r="78" spans="1:38" ht="18" customHeight="1" x14ac:dyDescent="0.2">
      <c r="A78" s="1"/>
      <c r="B78" s="1"/>
      <c r="C78" s="1"/>
      <c r="D78" s="1"/>
      <c r="E78" s="1"/>
      <c r="F78" s="1"/>
      <c r="G78" s="1"/>
      <c r="H78" s="1"/>
      <c r="I78" s="1"/>
      <c r="J78" s="1"/>
      <c r="K78" s="1"/>
      <c r="L78" s="1"/>
      <c r="M78" s="1"/>
      <c r="N78" s="1"/>
      <c r="O78" s="1"/>
      <c r="P78" s="1"/>
      <c r="Q78" s="1"/>
      <c r="R78" s="1"/>
      <c r="S78" s="1"/>
      <c r="T78" s="1"/>
      <c r="U78" s="1"/>
      <c r="V78" s="1"/>
      <c r="W78" s="1"/>
      <c r="X78" s="1"/>
      <c r="AA78" s="419"/>
      <c r="AB78" s="419"/>
      <c r="AC78" s="419"/>
      <c r="AD78" s="419"/>
      <c r="AE78" s="419"/>
      <c r="AF78" s="419"/>
      <c r="AI78" s="444"/>
      <c r="AJ78" s="444"/>
      <c r="AK78" s="444"/>
      <c r="AL78" s="444"/>
    </row>
    <row r="79" spans="1:38" ht="18" customHeight="1" x14ac:dyDescent="0.25">
      <c r="A79" s="1"/>
      <c r="B79" s="5" t="s">
        <v>396</v>
      </c>
      <c r="C79" s="1"/>
      <c r="D79" s="1"/>
      <c r="E79" s="1"/>
      <c r="F79" s="1"/>
      <c r="G79" s="1"/>
      <c r="H79" s="1"/>
      <c r="I79" s="1"/>
      <c r="J79" s="1"/>
      <c r="K79" s="1"/>
      <c r="L79" s="1"/>
      <c r="M79" s="1"/>
      <c r="N79" s="1"/>
      <c r="O79" s="1"/>
      <c r="P79" s="1"/>
      <c r="Q79" s="1"/>
      <c r="R79" s="1"/>
      <c r="S79" s="1"/>
      <c r="T79" s="1"/>
      <c r="U79" s="1"/>
      <c r="V79" s="1"/>
      <c r="W79" s="1"/>
      <c r="X79" s="1"/>
      <c r="AA79" s="419"/>
      <c r="AB79" s="419"/>
      <c r="AC79" s="419"/>
      <c r="AD79" s="419"/>
      <c r="AE79" s="419"/>
      <c r="AF79" s="419"/>
      <c r="AI79" s="444"/>
      <c r="AJ79" s="444"/>
      <c r="AK79" s="444"/>
      <c r="AL79" s="444"/>
    </row>
    <row r="80" spans="1:38" x14ac:dyDescent="0.2">
      <c r="A80" s="1"/>
      <c r="B80" s="1"/>
      <c r="C80" s="1"/>
      <c r="D80" s="1"/>
      <c r="E80" s="1"/>
      <c r="F80" s="1"/>
      <c r="G80" s="1"/>
      <c r="H80" s="1"/>
      <c r="I80" s="1"/>
      <c r="J80" s="1"/>
      <c r="K80" s="1"/>
      <c r="L80" s="1"/>
      <c r="M80" s="1"/>
      <c r="N80" s="1"/>
      <c r="O80" s="1"/>
      <c r="P80" s="1"/>
      <c r="Q80" s="1"/>
      <c r="R80" s="1"/>
      <c r="S80" s="1"/>
      <c r="T80" s="1"/>
      <c r="U80" s="1"/>
      <c r="V80" s="1"/>
      <c r="W80" s="1"/>
      <c r="X80" s="1"/>
      <c r="AA80" s="419"/>
      <c r="AB80" s="419"/>
      <c r="AC80" s="419"/>
      <c r="AD80" s="419"/>
      <c r="AE80" s="419"/>
      <c r="AF80" s="419"/>
      <c r="AI80" s="444"/>
      <c r="AJ80" s="444"/>
      <c r="AK80" s="444"/>
      <c r="AL80" s="444"/>
    </row>
    <row r="81" spans="1:32" ht="33" customHeight="1" x14ac:dyDescent="0.2">
      <c r="A81" s="1"/>
      <c r="B81" s="1"/>
      <c r="C81" s="408" t="s">
        <v>892</v>
      </c>
      <c r="D81" s="408" t="s">
        <v>721</v>
      </c>
      <c r="E81" s="408" t="s">
        <v>722</v>
      </c>
      <c r="F81" s="408" t="s">
        <v>723</v>
      </c>
      <c r="G81" s="408" t="s">
        <v>724</v>
      </c>
      <c r="H81" s="408" t="s">
        <v>725</v>
      </c>
      <c r="I81" s="1"/>
      <c r="J81" s="1"/>
      <c r="K81" s="1"/>
      <c r="L81" s="1"/>
      <c r="M81" s="1"/>
      <c r="N81" s="1"/>
      <c r="O81" s="1"/>
      <c r="P81" s="1"/>
      <c r="Q81" s="1"/>
      <c r="R81" s="1"/>
      <c r="S81" s="1"/>
      <c r="T81" s="1"/>
      <c r="U81" s="1"/>
      <c r="V81" s="1"/>
      <c r="W81" s="1"/>
      <c r="X81" s="1"/>
      <c r="AA81" s="419"/>
      <c r="AB81" s="419"/>
      <c r="AC81" s="419"/>
      <c r="AD81" s="419"/>
      <c r="AE81" s="419"/>
      <c r="AF81" s="419"/>
    </row>
    <row r="82" spans="1:32" x14ac:dyDescent="0.2">
      <c r="A82" s="1"/>
      <c r="B82" s="1" t="s">
        <v>698</v>
      </c>
      <c r="C82" s="409">
        <f t="shared" ref="C82:C87" si="34">C41</f>
        <v>71.365133980784336</v>
      </c>
      <c r="D82" s="409">
        <f t="shared" ref="D82:D87" si="35">D54</f>
        <v>216</v>
      </c>
      <c r="E82" s="411">
        <f t="shared" ref="E82:E87" si="36">G16</f>
        <v>746.24</v>
      </c>
      <c r="F82" s="411">
        <f t="shared" ref="F82:F87" si="37">E82*C82</f>
        <v>53255.517581820503</v>
      </c>
      <c r="G82" s="452">
        <v>0.05</v>
      </c>
      <c r="H82" s="411">
        <f t="shared" ref="H82:H87" si="38">F82*G82*D82/365</f>
        <v>1575.7796983114013</v>
      </c>
      <c r="I82" s="1"/>
      <c r="J82" s="1"/>
      <c r="K82" s="1"/>
      <c r="L82" s="1"/>
      <c r="M82" s="1"/>
      <c r="N82" s="1"/>
      <c r="O82" s="1"/>
      <c r="P82" s="1"/>
      <c r="Q82" s="1"/>
      <c r="R82" s="1"/>
      <c r="S82" s="1"/>
      <c r="T82" s="1"/>
      <c r="U82" s="1"/>
      <c r="V82" s="1"/>
      <c r="W82" s="1"/>
      <c r="X82" s="1"/>
      <c r="AA82" s="419"/>
      <c r="AB82" s="419"/>
      <c r="AC82" s="419"/>
      <c r="AD82" s="419"/>
      <c r="AE82" s="419"/>
      <c r="AF82" s="419"/>
    </row>
    <row r="83" spans="1:32" x14ac:dyDescent="0.2">
      <c r="A83" s="1"/>
      <c r="B83" s="1" t="s">
        <v>699</v>
      </c>
      <c r="C83" s="409">
        <f t="shared" si="34"/>
        <v>0</v>
      </c>
      <c r="D83" s="409">
        <f t="shared" si="35"/>
        <v>0</v>
      </c>
      <c r="E83" s="411">
        <f t="shared" si="36"/>
        <v>0</v>
      </c>
      <c r="F83" s="411">
        <f t="shared" si="37"/>
        <v>0</v>
      </c>
      <c r="G83" s="452">
        <v>0.05</v>
      </c>
      <c r="H83" s="411">
        <f t="shared" si="38"/>
        <v>0</v>
      </c>
      <c r="I83" s="1"/>
      <c r="J83" s="1"/>
      <c r="K83" s="1"/>
      <c r="L83" s="1"/>
      <c r="M83" s="1"/>
      <c r="N83" s="1"/>
      <c r="O83" s="1"/>
      <c r="P83" s="1"/>
      <c r="Q83" s="1"/>
      <c r="R83" s="1"/>
      <c r="S83" s="1"/>
      <c r="T83" s="1"/>
      <c r="U83" s="1"/>
      <c r="V83" s="1"/>
      <c r="W83" s="1"/>
      <c r="X83" s="1"/>
      <c r="AA83" s="419"/>
      <c r="AB83" s="419"/>
      <c r="AC83" s="419"/>
      <c r="AD83" s="419"/>
      <c r="AE83" s="419"/>
      <c r="AF83" s="419"/>
    </row>
    <row r="84" spans="1:32" x14ac:dyDescent="0.2">
      <c r="A84" s="1"/>
      <c r="B84" s="1" t="s">
        <v>700</v>
      </c>
      <c r="C84" s="409">
        <f t="shared" si="34"/>
        <v>0</v>
      </c>
      <c r="D84" s="409">
        <f t="shared" si="35"/>
        <v>0</v>
      </c>
      <c r="E84" s="411">
        <f t="shared" si="36"/>
        <v>0</v>
      </c>
      <c r="F84" s="411">
        <f t="shared" si="37"/>
        <v>0</v>
      </c>
      <c r="G84" s="452">
        <v>0.05</v>
      </c>
      <c r="H84" s="411">
        <f t="shared" si="38"/>
        <v>0</v>
      </c>
      <c r="I84" s="1"/>
      <c r="J84" s="1"/>
      <c r="K84" s="1"/>
      <c r="L84" s="1"/>
      <c r="M84" s="1"/>
      <c r="N84" s="1"/>
      <c r="O84" s="1"/>
      <c r="P84" s="1"/>
      <c r="Q84" s="1"/>
      <c r="R84" s="1"/>
      <c r="S84" s="1"/>
      <c r="T84" s="1"/>
      <c r="U84" s="1"/>
      <c r="V84" s="1"/>
      <c r="W84" s="1"/>
      <c r="X84" s="1"/>
      <c r="AA84" s="419"/>
      <c r="AB84" s="419"/>
      <c r="AC84" s="419"/>
      <c r="AD84" s="419"/>
      <c r="AE84" s="419"/>
      <c r="AF84" s="419"/>
    </row>
    <row r="85" spans="1:32" x14ac:dyDescent="0.2">
      <c r="A85" s="1"/>
      <c r="B85" s="1" t="s">
        <v>701</v>
      </c>
      <c r="C85" s="409">
        <f t="shared" si="34"/>
        <v>0</v>
      </c>
      <c r="D85" s="409">
        <f t="shared" si="35"/>
        <v>0</v>
      </c>
      <c r="E85" s="411">
        <f t="shared" si="36"/>
        <v>0</v>
      </c>
      <c r="F85" s="411">
        <f t="shared" si="37"/>
        <v>0</v>
      </c>
      <c r="G85" s="452">
        <v>0.05</v>
      </c>
      <c r="H85" s="411">
        <f t="shared" si="38"/>
        <v>0</v>
      </c>
      <c r="I85" s="1"/>
      <c r="J85" s="1"/>
      <c r="K85" s="1"/>
      <c r="L85" s="1"/>
      <c r="M85" s="1"/>
      <c r="N85" s="1"/>
      <c r="O85" s="1"/>
      <c r="P85" s="1"/>
      <c r="Q85" s="1"/>
      <c r="R85" s="1"/>
      <c r="S85" s="1"/>
      <c r="T85" s="1"/>
      <c r="U85" s="1"/>
      <c r="V85" s="1"/>
      <c r="W85" s="1"/>
      <c r="X85" s="1"/>
      <c r="AA85" s="419"/>
      <c r="AB85" s="419"/>
      <c r="AC85" s="419"/>
      <c r="AD85" s="419"/>
      <c r="AE85" s="419"/>
      <c r="AF85" s="419"/>
    </row>
    <row r="86" spans="1:32" x14ac:dyDescent="0.2">
      <c r="A86" s="1"/>
      <c r="B86" s="1" t="s">
        <v>702</v>
      </c>
      <c r="C86" s="409">
        <f t="shared" si="34"/>
        <v>0</v>
      </c>
      <c r="D86" s="409">
        <f t="shared" si="35"/>
        <v>0</v>
      </c>
      <c r="E86" s="411">
        <f t="shared" si="36"/>
        <v>0</v>
      </c>
      <c r="F86" s="411">
        <f t="shared" si="37"/>
        <v>0</v>
      </c>
      <c r="G86" s="452">
        <v>0.05</v>
      </c>
      <c r="H86" s="411">
        <f t="shared" si="38"/>
        <v>0</v>
      </c>
      <c r="I86" s="1"/>
      <c r="J86" s="1"/>
      <c r="K86" s="1"/>
      <c r="L86" s="1"/>
      <c r="M86" s="1"/>
      <c r="N86" s="1"/>
      <c r="O86" s="1"/>
      <c r="P86" s="1"/>
      <c r="Q86" s="1"/>
      <c r="R86" s="1"/>
      <c r="S86" s="1"/>
      <c r="T86" s="1"/>
      <c r="U86" s="1"/>
      <c r="V86" s="1"/>
      <c r="W86" s="1"/>
      <c r="X86" s="1"/>
      <c r="AA86" s="419"/>
      <c r="AB86" s="419"/>
      <c r="AC86" s="419"/>
      <c r="AD86" s="419"/>
      <c r="AE86" s="419"/>
      <c r="AF86" s="419"/>
    </row>
    <row r="87" spans="1:32" x14ac:dyDescent="0.2">
      <c r="A87" s="1"/>
      <c r="B87" s="1" t="s">
        <v>703</v>
      </c>
      <c r="C87" s="409">
        <f t="shared" si="34"/>
        <v>0</v>
      </c>
      <c r="D87" s="409">
        <f t="shared" si="35"/>
        <v>0</v>
      </c>
      <c r="E87" s="411">
        <f t="shared" si="36"/>
        <v>0</v>
      </c>
      <c r="F87" s="411">
        <f t="shared" si="37"/>
        <v>0</v>
      </c>
      <c r="G87" s="452">
        <v>0.05</v>
      </c>
      <c r="H87" s="411">
        <f t="shared" si="38"/>
        <v>0</v>
      </c>
      <c r="I87" s="1"/>
      <c r="J87" s="1"/>
      <c r="K87" s="1"/>
      <c r="L87" s="1"/>
      <c r="M87" s="1"/>
      <c r="N87" s="1"/>
      <c r="O87" s="1"/>
      <c r="P87" s="1"/>
      <c r="Q87" s="1"/>
      <c r="R87" s="1"/>
      <c r="S87" s="1"/>
      <c r="T87" s="1"/>
      <c r="U87" s="1"/>
      <c r="V87" s="1"/>
      <c r="W87" s="1"/>
      <c r="X87" s="1"/>
      <c r="AA87" s="419"/>
      <c r="AB87" s="419"/>
      <c r="AC87" s="419"/>
      <c r="AD87" s="419"/>
      <c r="AE87" s="419"/>
      <c r="AF87" s="419"/>
    </row>
    <row r="88" spans="1:32" ht="15.75" thickBot="1" x14ac:dyDescent="0.25">
      <c r="A88" s="1"/>
      <c r="B88" s="1"/>
      <c r="C88" s="1"/>
      <c r="D88" s="1"/>
      <c r="E88" s="1"/>
      <c r="F88" s="1" t="s">
        <v>726</v>
      </c>
      <c r="G88" s="1"/>
      <c r="H88" s="440">
        <f>SUM(H82:H87)</f>
        <v>1575.7796983114013</v>
      </c>
      <c r="I88" s="1"/>
      <c r="J88" s="1"/>
      <c r="K88" s="1"/>
      <c r="L88" s="1"/>
      <c r="M88" s="1"/>
      <c r="N88" s="1"/>
      <c r="O88" s="1"/>
      <c r="P88" s="1"/>
      <c r="Q88" s="1"/>
      <c r="R88" s="1"/>
      <c r="S88" s="1"/>
      <c r="T88" s="1"/>
      <c r="U88" s="1"/>
      <c r="V88" s="1"/>
      <c r="W88" s="1"/>
      <c r="X88" s="1"/>
      <c r="Y88" s="1"/>
      <c r="Z88" s="1"/>
      <c r="AA88" s="6"/>
    </row>
    <row r="89" spans="1:32" ht="15.75" thickTop="1" x14ac:dyDescent="0.2">
      <c r="A89" s="1"/>
      <c r="B89" s="1"/>
      <c r="C89" s="1"/>
      <c r="D89" s="1"/>
      <c r="E89" s="1"/>
      <c r="F89" s="1"/>
      <c r="G89" s="1"/>
      <c r="H89" s="1"/>
      <c r="I89" s="1"/>
      <c r="J89" s="1"/>
      <c r="K89" s="1"/>
      <c r="L89" s="1"/>
      <c r="M89" s="1"/>
      <c r="N89" s="1"/>
      <c r="O89" s="1"/>
      <c r="P89" s="1"/>
      <c r="Q89" s="1"/>
      <c r="R89" s="1"/>
      <c r="S89" s="1"/>
      <c r="T89" s="1"/>
      <c r="U89" s="1"/>
      <c r="V89" s="1"/>
      <c r="W89" s="1"/>
      <c r="X89" s="1"/>
      <c r="Y89" s="1"/>
      <c r="Z89" s="1"/>
      <c r="AA89" s="6"/>
    </row>
    <row r="90" spans="1:32" x14ac:dyDescent="0.2">
      <c r="A90" s="1"/>
      <c r="B90" s="1"/>
      <c r="C90" s="1"/>
      <c r="D90" s="1"/>
      <c r="E90" s="1"/>
      <c r="F90" s="1"/>
      <c r="G90" s="1"/>
      <c r="H90" s="1"/>
      <c r="I90" s="1"/>
      <c r="J90" s="1"/>
      <c r="K90" s="1"/>
      <c r="L90" s="1"/>
      <c r="M90" s="1"/>
      <c r="N90" s="1"/>
      <c r="O90" s="1"/>
      <c r="P90" s="1"/>
      <c r="Q90" s="1"/>
      <c r="R90" s="1"/>
      <c r="S90" s="1"/>
      <c r="T90" s="1"/>
      <c r="U90" s="1"/>
      <c r="V90" s="1"/>
      <c r="W90" s="1"/>
      <c r="X90" s="1"/>
      <c r="Y90" s="1"/>
      <c r="Z90" s="1"/>
      <c r="AA90" s="6"/>
    </row>
    <row r="91" spans="1:32" ht="15.75" x14ac:dyDescent="0.25">
      <c r="A91" s="1"/>
      <c r="B91" s="5" t="s">
        <v>727</v>
      </c>
      <c r="C91" s="1"/>
      <c r="D91" s="1"/>
      <c r="E91" s="1"/>
      <c r="F91" s="1"/>
      <c r="G91" s="1"/>
      <c r="H91" s="1"/>
      <c r="I91" s="1"/>
      <c r="J91" s="1"/>
      <c r="K91" s="1"/>
      <c r="L91" s="1"/>
      <c r="M91" s="1"/>
      <c r="N91" s="1"/>
      <c r="O91" s="1"/>
      <c r="P91" s="1"/>
      <c r="Q91" s="1"/>
      <c r="R91" s="1"/>
      <c r="S91" s="1"/>
      <c r="T91" s="1"/>
      <c r="U91" s="1"/>
      <c r="V91" s="1"/>
      <c r="W91" s="1"/>
      <c r="X91" s="1"/>
      <c r="Y91" s="1"/>
      <c r="Z91" s="1"/>
      <c r="AA91" s="6"/>
    </row>
    <row r="92" spans="1:32" x14ac:dyDescent="0.2">
      <c r="A92" s="1"/>
      <c r="B92" s="1"/>
      <c r="C92" s="1"/>
      <c r="D92" s="1"/>
      <c r="E92" s="1"/>
      <c r="F92" s="1"/>
      <c r="G92" s="1"/>
      <c r="H92" s="1"/>
      <c r="I92" s="1"/>
      <c r="J92" s="1"/>
      <c r="K92" s="1"/>
      <c r="L92" s="1"/>
      <c r="M92" s="1"/>
      <c r="N92" s="1"/>
      <c r="O92" s="1"/>
      <c r="P92" s="1"/>
      <c r="Q92" s="1"/>
      <c r="R92" s="1"/>
      <c r="S92" s="1"/>
      <c r="T92" s="1"/>
      <c r="U92" s="1"/>
      <c r="V92" s="1"/>
      <c r="W92" s="1"/>
      <c r="X92" s="1"/>
      <c r="Y92" s="1"/>
      <c r="Z92" s="1"/>
      <c r="AA92" s="6"/>
    </row>
    <row r="93" spans="1:32" ht="30" x14ac:dyDescent="0.2">
      <c r="A93" s="1"/>
      <c r="B93" s="1"/>
      <c r="C93" s="408" t="s">
        <v>892</v>
      </c>
      <c r="D93" s="408" t="s">
        <v>721</v>
      </c>
      <c r="E93" s="408" t="s">
        <v>728</v>
      </c>
      <c r="F93" s="408" t="s">
        <v>895</v>
      </c>
      <c r="G93" s="408" t="s">
        <v>673</v>
      </c>
      <c r="H93" s="408" t="s">
        <v>731</v>
      </c>
      <c r="I93" s="407" t="s">
        <v>659</v>
      </c>
      <c r="J93" s="407" t="s">
        <v>729</v>
      </c>
      <c r="K93" s="1"/>
      <c r="L93" s="1"/>
      <c r="M93" s="1"/>
      <c r="N93" s="1"/>
      <c r="O93" s="1"/>
      <c r="P93" s="1"/>
      <c r="Q93" s="1"/>
      <c r="R93" s="1"/>
      <c r="S93" s="1"/>
      <c r="T93" s="1"/>
      <c r="U93" s="1"/>
      <c r="V93" s="1"/>
      <c r="W93" s="1"/>
      <c r="X93" s="1"/>
      <c r="Y93" s="1"/>
      <c r="Z93" s="1"/>
      <c r="AA93" s="6"/>
    </row>
    <row r="94" spans="1:32" x14ac:dyDescent="0.2">
      <c r="A94" s="1"/>
      <c r="B94" s="1" t="s">
        <v>698</v>
      </c>
      <c r="C94" s="409">
        <f t="shared" ref="C94:C99" si="39">C41</f>
        <v>71.365133980784336</v>
      </c>
      <c r="D94" s="409">
        <f t="shared" ref="D94:D99" si="40">D54</f>
        <v>216</v>
      </c>
      <c r="E94" s="409">
        <f t="shared" ref="E94:E99" si="41">F16</f>
        <v>466.4</v>
      </c>
      <c r="F94" s="409">
        <f t="shared" ref="F94:F99" si="42">E54</f>
        <v>596</v>
      </c>
      <c r="G94" s="413">
        <f t="shared" ref="G94:G99" si="43">(POWER(((F94+E94)/2),0.75)/97.7)</f>
        <v>1.132528099030182</v>
      </c>
      <c r="H94" s="413">
        <f t="shared" ref="H94:H99" si="44">D94/365*G94*C94</f>
        <v>47.829512923964543</v>
      </c>
      <c r="I94" s="413">
        <f>IF(D8&lt;=0,0,H94/$D$8)</f>
        <v>0.47829512923964546</v>
      </c>
      <c r="J94" s="413">
        <f t="shared" ref="J94:J100" si="45">IF(H94&lt;=0,0,$D$8/H94)</f>
        <v>2.0907593217386897</v>
      </c>
      <c r="K94" s="1"/>
      <c r="L94" s="1"/>
      <c r="M94" s="1"/>
      <c r="N94" s="1"/>
      <c r="O94" s="1"/>
      <c r="P94" s="1"/>
      <c r="Q94" s="1"/>
      <c r="R94" s="1"/>
      <c r="S94" s="1"/>
      <c r="T94" s="1"/>
      <c r="U94" s="1"/>
      <c r="V94" s="1"/>
      <c r="W94" s="1"/>
      <c r="X94" s="1"/>
      <c r="Y94" s="1"/>
      <c r="Z94" s="1"/>
      <c r="AA94" s="6"/>
    </row>
    <row r="95" spans="1:32" x14ac:dyDescent="0.2">
      <c r="A95" s="1"/>
      <c r="B95" s="1" t="s">
        <v>699</v>
      </c>
      <c r="C95" s="409">
        <f t="shared" si="39"/>
        <v>0</v>
      </c>
      <c r="D95" s="409">
        <f t="shared" si="40"/>
        <v>0</v>
      </c>
      <c r="E95" s="409">
        <f t="shared" si="41"/>
        <v>0</v>
      </c>
      <c r="F95" s="409">
        <f t="shared" si="42"/>
        <v>0</v>
      </c>
      <c r="G95" s="413">
        <f t="shared" si="43"/>
        <v>0</v>
      </c>
      <c r="H95" s="413">
        <f t="shared" si="44"/>
        <v>0</v>
      </c>
      <c r="I95" s="413">
        <f>IF(D8&lt;=0,0,H95/$D$8)</f>
        <v>0</v>
      </c>
      <c r="J95" s="413">
        <f t="shared" si="45"/>
        <v>0</v>
      </c>
      <c r="K95" s="1"/>
      <c r="L95" s="1"/>
      <c r="M95" s="1"/>
      <c r="N95" s="1"/>
      <c r="O95" s="1"/>
      <c r="P95" s="1"/>
      <c r="Q95" s="1"/>
      <c r="R95" s="1"/>
      <c r="S95" s="1"/>
      <c r="T95" s="1"/>
      <c r="U95" s="1"/>
      <c r="V95" s="1"/>
      <c r="W95" s="1"/>
      <c r="X95" s="1"/>
      <c r="Y95" s="1"/>
      <c r="Z95" s="1"/>
      <c r="AA95" s="6"/>
    </row>
    <row r="96" spans="1:32" x14ac:dyDescent="0.2">
      <c r="A96" s="1"/>
      <c r="B96" s="1" t="s">
        <v>700</v>
      </c>
      <c r="C96" s="409">
        <f t="shared" si="39"/>
        <v>0</v>
      </c>
      <c r="D96" s="409">
        <f t="shared" si="40"/>
        <v>0</v>
      </c>
      <c r="E96" s="409">
        <f t="shared" si="41"/>
        <v>0</v>
      </c>
      <c r="F96" s="409">
        <f t="shared" si="42"/>
        <v>0</v>
      </c>
      <c r="G96" s="413">
        <f t="shared" si="43"/>
        <v>0</v>
      </c>
      <c r="H96" s="413">
        <f t="shared" si="44"/>
        <v>0</v>
      </c>
      <c r="I96" s="413">
        <f>IF(D8&lt;=0,0,H96/$D$8)</f>
        <v>0</v>
      </c>
      <c r="J96" s="413">
        <f t="shared" si="45"/>
        <v>0</v>
      </c>
      <c r="K96" s="1"/>
      <c r="L96" s="1"/>
      <c r="M96" s="1"/>
      <c r="N96" s="1"/>
      <c r="O96" s="1"/>
      <c r="P96" s="1"/>
      <c r="Q96" s="1"/>
      <c r="R96" s="1"/>
      <c r="S96" s="1"/>
      <c r="T96" s="1"/>
      <c r="U96" s="1"/>
      <c r="V96" s="1"/>
      <c r="W96" s="1"/>
      <c r="X96" s="1"/>
      <c r="Y96" s="1"/>
      <c r="Z96" s="1"/>
      <c r="AA96" s="6"/>
    </row>
    <row r="97" spans="1:44" x14ac:dyDescent="0.2">
      <c r="A97" s="1"/>
      <c r="B97" s="1" t="s">
        <v>701</v>
      </c>
      <c r="C97" s="409">
        <f t="shared" si="39"/>
        <v>0</v>
      </c>
      <c r="D97" s="409">
        <f t="shared" si="40"/>
        <v>0</v>
      </c>
      <c r="E97" s="409">
        <f t="shared" si="41"/>
        <v>0</v>
      </c>
      <c r="F97" s="409">
        <f t="shared" si="42"/>
        <v>0</v>
      </c>
      <c r="G97" s="413">
        <f t="shared" si="43"/>
        <v>0</v>
      </c>
      <c r="H97" s="413">
        <f t="shared" si="44"/>
        <v>0</v>
      </c>
      <c r="I97" s="413">
        <f>IF(D8&lt;=0,0,H97/$D$8)</f>
        <v>0</v>
      </c>
      <c r="J97" s="413">
        <f t="shared" si="45"/>
        <v>0</v>
      </c>
      <c r="K97" s="1"/>
      <c r="L97" s="1"/>
      <c r="M97" s="1"/>
      <c r="N97" s="1"/>
      <c r="O97" s="1"/>
      <c r="P97" s="1"/>
      <c r="Q97" s="1"/>
      <c r="R97" s="1"/>
      <c r="S97" s="1"/>
      <c r="T97" s="1"/>
      <c r="U97" s="1"/>
      <c r="V97" s="1"/>
      <c r="W97" s="1"/>
      <c r="X97" s="1"/>
      <c r="Y97" s="1"/>
      <c r="Z97" s="1"/>
      <c r="AA97" s="6"/>
    </row>
    <row r="98" spans="1:44" x14ac:dyDescent="0.2">
      <c r="A98" s="1"/>
      <c r="B98" s="1" t="s">
        <v>702</v>
      </c>
      <c r="C98" s="409">
        <f t="shared" si="39"/>
        <v>0</v>
      </c>
      <c r="D98" s="409">
        <f t="shared" si="40"/>
        <v>0</v>
      </c>
      <c r="E98" s="409">
        <f t="shared" si="41"/>
        <v>0</v>
      </c>
      <c r="F98" s="409">
        <f t="shared" si="42"/>
        <v>0</v>
      </c>
      <c r="G98" s="413">
        <f t="shared" si="43"/>
        <v>0</v>
      </c>
      <c r="H98" s="413">
        <f t="shared" si="44"/>
        <v>0</v>
      </c>
      <c r="I98" s="413">
        <f>IF(D8&lt;=0,0,H98/$D$8)</f>
        <v>0</v>
      </c>
      <c r="J98" s="413">
        <f t="shared" si="45"/>
        <v>0</v>
      </c>
      <c r="K98" s="1"/>
      <c r="L98" s="1"/>
      <c r="M98" s="1"/>
      <c r="N98" s="1"/>
      <c r="O98" s="1"/>
      <c r="P98" s="1"/>
      <c r="Q98" s="1"/>
      <c r="R98" s="1"/>
      <c r="S98" s="1"/>
      <c r="T98" s="1"/>
      <c r="U98" s="1"/>
      <c r="V98" s="1"/>
      <c r="W98" s="1"/>
      <c r="X98" s="1"/>
      <c r="Y98" s="1"/>
      <c r="Z98" s="1"/>
      <c r="AA98" s="6"/>
    </row>
    <row r="99" spans="1:44" x14ac:dyDescent="0.2">
      <c r="A99" s="1"/>
      <c r="B99" s="1" t="s">
        <v>703</v>
      </c>
      <c r="C99" s="409">
        <f t="shared" si="39"/>
        <v>0</v>
      </c>
      <c r="D99" s="409">
        <f t="shared" si="40"/>
        <v>0</v>
      </c>
      <c r="E99" s="409">
        <f t="shared" si="41"/>
        <v>0</v>
      </c>
      <c r="F99" s="409">
        <f t="shared" si="42"/>
        <v>0</v>
      </c>
      <c r="G99" s="413">
        <f t="shared" si="43"/>
        <v>0</v>
      </c>
      <c r="H99" s="413">
        <f t="shared" si="44"/>
        <v>0</v>
      </c>
      <c r="I99" s="413">
        <f>IF(D8&lt;=0,0,H99/$D$8)</f>
        <v>0</v>
      </c>
      <c r="J99" s="413">
        <f t="shared" si="45"/>
        <v>0</v>
      </c>
      <c r="K99" s="1"/>
      <c r="L99" s="1"/>
      <c r="M99" s="1"/>
      <c r="N99" s="1"/>
      <c r="O99" s="1"/>
      <c r="P99" s="1"/>
      <c r="Q99" s="1"/>
      <c r="R99" s="1"/>
      <c r="S99" s="1"/>
      <c r="T99" s="1"/>
      <c r="U99" s="1"/>
      <c r="V99" s="1"/>
      <c r="W99" s="1"/>
      <c r="X99" s="1"/>
      <c r="Y99" s="1"/>
      <c r="Z99" s="1"/>
      <c r="AA99" s="6"/>
    </row>
    <row r="100" spans="1:44" x14ac:dyDescent="0.2">
      <c r="A100" s="1"/>
      <c r="B100" s="1"/>
      <c r="C100" s="1"/>
      <c r="D100" s="1"/>
      <c r="E100" s="1"/>
      <c r="F100" s="1"/>
      <c r="G100" s="1" t="s">
        <v>730</v>
      </c>
      <c r="H100" s="453">
        <f>SUM(H94:H99)</f>
        <v>47.829512923964543</v>
      </c>
      <c r="I100" s="418">
        <f>IF(D8&lt;=0,0,H100/$D$8)</f>
        <v>0.47829512923964546</v>
      </c>
      <c r="J100" s="418">
        <f t="shared" si="45"/>
        <v>2.0907593217386897</v>
      </c>
      <c r="K100" s="1"/>
      <c r="L100" s="1"/>
      <c r="M100" s="1"/>
      <c r="N100" s="1"/>
      <c r="O100" s="1"/>
      <c r="P100" s="1"/>
      <c r="Q100" s="1"/>
      <c r="R100" s="1"/>
      <c r="S100" s="1"/>
      <c r="T100" s="1"/>
      <c r="U100" s="1"/>
      <c r="V100" s="1"/>
      <c r="W100" s="1"/>
      <c r="X100" s="1"/>
      <c r="Y100" s="1"/>
      <c r="Z100" s="1"/>
      <c r="AA100" s="6"/>
    </row>
    <row r="101" spans="1:44"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6"/>
    </row>
    <row r="102" spans="1:44" x14ac:dyDescent="0.2">
      <c r="A102" s="1"/>
      <c r="B102" s="1"/>
      <c r="C102" s="1"/>
      <c r="D102" s="1"/>
      <c r="E102" s="1"/>
      <c r="F102" s="1"/>
      <c r="G102" s="1"/>
      <c r="H102" s="1"/>
      <c r="I102" s="1"/>
      <c r="J102" s="1"/>
      <c r="K102" s="1"/>
      <c r="L102" s="1"/>
      <c r="M102" s="1"/>
      <c r="N102" s="1"/>
      <c r="O102" s="1"/>
      <c r="P102" s="1"/>
      <c r="Q102" s="1"/>
      <c r="R102" s="1" t="s">
        <v>788</v>
      </c>
      <c r="S102" s="1"/>
      <c r="T102" s="1"/>
      <c r="U102" s="1"/>
      <c r="W102" s="1"/>
      <c r="X102" s="1"/>
      <c r="Y102" s="1" t="s">
        <v>789</v>
      </c>
      <c r="Z102" s="1"/>
      <c r="AA102" s="6"/>
    </row>
    <row r="103" spans="1:44"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6"/>
    </row>
    <row r="104" spans="1:44"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6"/>
    </row>
    <row r="105" spans="1:44" ht="15.75" x14ac:dyDescent="0.25">
      <c r="A105" s="1"/>
      <c r="B105" s="446" t="s">
        <v>397</v>
      </c>
      <c r="C105" s="1"/>
      <c r="D105" s="1"/>
      <c r="E105" s="1"/>
      <c r="F105" s="1"/>
      <c r="G105" s="1"/>
      <c r="H105" s="1"/>
      <c r="I105" s="1"/>
      <c r="J105" s="1"/>
      <c r="K105" s="1"/>
      <c r="L105" s="1"/>
      <c r="M105" s="1"/>
      <c r="N105" s="1"/>
      <c r="O105" s="1"/>
      <c r="P105" s="1"/>
      <c r="Q105" s="1"/>
      <c r="R105" s="1"/>
      <c r="S105" s="1"/>
      <c r="T105" s="1"/>
      <c r="U105" s="1"/>
      <c r="V105" s="1"/>
      <c r="W105" s="1"/>
      <c r="X105" s="1"/>
      <c r="Y105" s="1"/>
      <c r="Z105" s="1"/>
      <c r="AA105" s="6"/>
    </row>
    <row r="106" spans="1:44" x14ac:dyDescent="0.2">
      <c r="A106" s="1"/>
      <c r="B106" s="1"/>
      <c r="C106" s="1"/>
      <c r="D106" s="1"/>
      <c r="E106" s="1"/>
      <c r="F106" s="1"/>
      <c r="G106" s="1"/>
      <c r="H106" s="1"/>
      <c r="I106" s="1"/>
      <c r="J106" s="1"/>
      <c r="K106" s="1"/>
      <c r="L106" s="1"/>
      <c r="M106" s="1"/>
      <c r="N106" s="1"/>
      <c r="O106" s="1"/>
      <c r="P106" s="1"/>
      <c r="Q106" s="1"/>
    </row>
    <row r="107" spans="1:44" ht="15.75" x14ac:dyDescent="0.25">
      <c r="C107" s="446" t="s">
        <v>620</v>
      </c>
      <c r="D107" s="1" t="s">
        <v>398</v>
      </c>
      <c r="E107" s="1"/>
      <c r="F107" s="1"/>
      <c r="G107" s="1"/>
      <c r="H107" s="1"/>
      <c r="I107" s="1"/>
      <c r="J107" s="1"/>
      <c r="L107" s="446" t="s">
        <v>582</v>
      </c>
      <c r="N107" s="446" t="s">
        <v>620</v>
      </c>
      <c r="O107" s="1"/>
      <c r="P107" s="1"/>
      <c r="Q107" s="1"/>
      <c r="R107" s="1"/>
      <c r="S107" s="1"/>
      <c r="T107" s="1"/>
      <c r="U107" s="1"/>
      <c r="Y107" s="446" t="s">
        <v>795</v>
      </c>
      <c r="Z107" s="446" t="s">
        <v>393</v>
      </c>
      <c r="AA107" s="6"/>
      <c r="AB107" s="6"/>
      <c r="AC107" s="6"/>
      <c r="AD107" s="6"/>
      <c r="AE107" s="6"/>
      <c r="AF107" s="6"/>
      <c r="AG107" s="1"/>
      <c r="AI107" s="446" t="s">
        <v>582</v>
      </c>
      <c r="AJ107" s="446" t="s">
        <v>393</v>
      </c>
      <c r="AL107" s="1"/>
      <c r="AM107" s="1"/>
      <c r="AN107" s="1"/>
      <c r="AO107" s="1"/>
      <c r="AP107" s="1"/>
      <c r="AQ107" s="1"/>
      <c r="AR107" s="1"/>
    </row>
    <row r="108" spans="1:44" x14ac:dyDescent="0.2">
      <c r="B108" s="65"/>
      <c r="C108" s="1"/>
      <c r="D108" s="14"/>
      <c r="E108" s="14"/>
      <c r="F108" s="14"/>
      <c r="G108" s="14"/>
      <c r="H108" s="14"/>
      <c r="I108" s="14"/>
      <c r="J108" s="14"/>
      <c r="L108" s="65"/>
      <c r="M108" s="1"/>
      <c r="N108" s="14"/>
      <c r="O108" s="14"/>
      <c r="P108" s="14"/>
      <c r="Q108" s="14"/>
      <c r="R108" s="14"/>
      <c r="S108" s="14"/>
      <c r="T108" s="14"/>
      <c r="U108" s="14"/>
      <c r="Y108" s="65"/>
      <c r="Z108" s="1"/>
      <c r="AA108" s="6"/>
      <c r="AB108" s="6"/>
      <c r="AC108" s="6"/>
      <c r="AD108" s="6"/>
      <c r="AE108" s="6"/>
      <c r="AF108" s="6"/>
      <c r="AG108" s="14"/>
      <c r="AI108" s="65"/>
      <c r="AJ108" s="1"/>
      <c r="AK108" s="14"/>
      <c r="AL108" s="14"/>
      <c r="AM108" s="14"/>
      <c r="AN108" s="14"/>
      <c r="AO108" s="14"/>
      <c r="AP108" s="14"/>
      <c r="AQ108" s="14"/>
      <c r="AR108" s="14"/>
    </row>
    <row r="109" spans="1:44" ht="15.75" x14ac:dyDescent="0.25">
      <c r="B109" s="482" t="s">
        <v>994</v>
      </c>
      <c r="C109" s="483" t="s">
        <v>583</v>
      </c>
      <c r="D109" s="484" t="s">
        <v>616</v>
      </c>
      <c r="E109" s="482" t="s">
        <v>619</v>
      </c>
      <c r="F109" s="485" t="s">
        <v>617</v>
      </c>
      <c r="G109" s="485" t="s">
        <v>245</v>
      </c>
      <c r="H109" s="486" t="s">
        <v>489</v>
      </c>
      <c r="I109" s="486" t="s">
        <v>490</v>
      </c>
      <c r="L109" s="482" t="s">
        <v>994</v>
      </c>
      <c r="M109" s="483" t="s">
        <v>583</v>
      </c>
      <c r="N109" s="484" t="s">
        <v>616</v>
      </c>
      <c r="O109" s="482" t="s">
        <v>619</v>
      </c>
      <c r="P109" s="485" t="s">
        <v>617</v>
      </c>
      <c r="Q109" s="482"/>
      <c r="R109" s="485" t="s">
        <v>245</v>
      </c>
      <c r="S109" s="487" t="s">
        <v>489</v>
      </c>
      <c r="T109" s="487" t="s">
        <v>490</v>
      </c>
      <c r="U109" s="1"/>
      <c r="Y109" s="488" t="s">
        <v>994</v>
      </c>
      <c r="Z109" s="94" t="s">
        <v>583</v>
      </c>
      <c r="AA109" s="488" t="s">
        <v>616</v>
      </c>
      <c r="AB109" s="488" t="s">
        <v>619</v>
      </c>
      <c r="AC109" s="488" t="s">
        <v>617</v>
      </c>
      <c r="AD109" s="488" t="s">
        <v>618</v>
      </c>
      <c r="AE109" s="489" t="s">
        <v>489</v>
      </c>
      <c r="AF109" s="489" t="s">
        <v>490</v>
      </c>
      <c r="AI109" s="488" t="s">
        <v>994</v>
      </c>
      <c r="AJ109" s="94" t="s">
        <v>583</v>
      </c>
      <c r="AK109" s="490" t="s">
        <v>616</v>
      </c>
      <c r="AL109" s="488" t="s">
        <v>619</v>
      </c>
      <c r="AM109" s="74" t="s">
        <v>617</v>
      </c>
      <c r="AN109" s="488"/>
      <c r="AO109" s="74" t="s">
        <v>618</v>
      </c>
      <c r="AP109" s="72" t="s">
        <v>489</v>
      </c>
      <c r="AQ109" s="72" t="s">
        <v>490</v>
      </c>
      <c r="AR109" s="1"/>
    </row>
    <row r="110" spans="1:44" ht="15.75" x14ac:dyDescent="0.25">
      <c r="B110" s="435"/>
      <c r="C110" s="491" t="str">
        <f>IF(B110&lt;=0,"",VLOOKUP(B110,Treatments!$C$7:$J$407,2))</f>
        <v/>
      </c>
      <c r="D110" s="492"/>
      <c r="E110" s="433">
        <f>VLOOKUP(B110,Treatments!$C$7:$J$407,8)</f>
        <v>0</v>
      </c>
      <c r="F110" s="435"/>
      <c r="G110" s="493"/>
      <c r="H110" s="433">
        <f>D110*E110*F110*G110</f>
        <v>0</v>
      </c>
      <c r="I110" s="411">
        <f>H110*$D$9</f>
        <v>0</v>
      </c>
      <c r="L110" s="305">
        <v>344</v>
      </c>
      <c r="M110" s="491" t="str">
        <f>VLOOKUP(L110,Treatments!$C$7:$J$407,2)</f>
        <v>Linkage spray rig</v>
      </c>
      <c r="N110" s="306">
        <v>1</v>
      </c>
      <c r="O110" s="433">
        <f>VLOOKUP(L110,Treatments!$C$7:$J$407,8)</f>
        <v>3.3779411764705882</v>
      </c>
      <c r="P110" s="305">
        <v>3</v>
      </c>
      <c r="Q110" s="307"/>
      <c r="R110" s="308">
        <v>1</v>
      </c>
      <c r="S110" s="433">
        <f t="shared" ref="S110:S115" si="46">N110*O110*P110*R110</f>
        <v>10.133823529411764</v>
      </c>
      <c r="T110" s="411">
        <f t="shared" ref="T110:T115" si="47">S110*$D$9</f>
        <v>1013.3823529411764</v>
      </c>
      <c r="U110" s="1"/>
      <c r="Y110" s="447">
        <f>IF(AND(B110&gt;=344,B110&lt;=358),B110+15,B110)</f>
        <v>0</v>
      </c>
      <c r="Z110" s="491" t="str">
        <f>VLOOKUP(Y110,Treatments!$C$7:$J$407,2)</f>
        <v>No treatment</v>
      </c>
      <c r="AA110" s="495">
        <f>D110</f>
        <v>0</v>
      </c>
      <c r="AB110" s="433">
        <f>VLOOKUP(Y110,Treatments!$C$7:$J$407,8)</f>
        <v>0</v>
      </c>
      <c r="AC110" s="495">
        <f>F110</f>
        <v>0</v>
      </c>
      <c r="AD110" s="496">
        <f>G110</f>
        <v>0</v>
      </c>
      <c r="AE110" s="433">
        <f>AA110*AB110*AC110*AD110</f>
        <v>0</v>
      </c>
      <c r="AF110" s="411">
        <f t="shared" ref="AF110:AF124" si="48">AE110*$D$9</f>
        <v>0</v>
      </c>
      <c r="AI110" s="447">
        <f t="shared" ref="AI110:AI115" si="49">IF(AND(L110&gt;=344,L110&lt;=358),L110+15,L110)</f>
        <v>359</v>
      </c>
      <c r="AJ110" s="491" t="str">
        <f>VLOOKUP(AI110,Treatments!$C$7:$J$407,2)</f>
        <v>Linkage spray rig</v>
      </c>
      <c r="AK110" s="495">
        <f t="shared" ref="AK110:AK115" si="50">N110</f>
        <v>1</v>
      </c>
      <c r="AL110" s="433">
        <f>VLOOKUP(AI110,Treatments!$C$7:$J$407,8)</f>
        <v>8.01</v>
      </c>
      <c r="AM110" s="495">
        <f t="shared" ref="AM110:AM115" si="51">P110</f>
        <v>3</v>
      </c>
      <c r="AN110" s="494"/>
      <c r="AO110" s="496">
        <f t="shared" ref="AO110:AO115" si="52">R110</f>
        <v>1</v>
      </c>
      <c r="AP110" s="433">
        <f t="shared" ref="AP110:AP115" si="53">AK110*AL110*AM110*AO110</f>
        <v>24.03</v>
      </c>
      <c r="AQ110" s="411">
        <f t="shared" ref="AQ110:AQ115" si="54">AP110*$D$9</f>
        <v>2403</v>
      </c>
      <c r="AR110" s="1"/>
    </row>
    <row r="111" spans="1:44" ht="15.75" x14ac:dyDescent="0.25">
      <c r="B111" s="435"/>
      <c r="C111" s="491" t="str">
        <f>IF(B111&lt;=0,"",VLOOKUP(B111,Treatments!$C$7:$J$407,2))</f>
        <v/>
      </c>
      <c r="D111" s="492"/>
      <c r="E111" s="433">
        <f>VLOOKUP(B111,Treatments!$C$7:$J$407,8)</f>
        <v>0</v>
      </c>
      <c r="F111" s="435"/>
      <c r="G111" s="493"/>
      <c r="H111" s="433">
        <f>D111*E111*F111*G111</f>
        <v>0</v>
      </c>
      <c r="I111" s="411">
        <f t="shared" ref="I111:I124" si="55">H111*$D$9</f>
        <v>0</v>
      </c>
      <c r="L111" s="305">
        <v>162</v>
      </c>
      <c r="M111" s="491" t="str">
        <f>VLOOKUP(L111,Treatments!$C$7:$J$407,2)</f>
        <v>Roundup CT</v>
      </c>
      <c r="N111" s="306">
        <v>1.5</v>
      </c>
      <c r="O111" s="433">
        <f>VLOOKUP(L111,Treatments!$C$7:$J$407,8)</f>
        <v>4.5</v>
      </c>
      <c r="P111" s="305">
        <v>3</v>
      </c>
      <c r="Q111" s="309"/>
      <c r="R111" s="308">
        <v>1</v>
      </c>
      <c r="S111" s="433">
        <f t="shared" si="46"/>
        <v>20.25</v>
      </c>
      <c r="T111" s="411">
        <f t="shared" si="47"/>
        <v>2025</v>
      </c>
      <c r="U111" s="1"/>
      <c r="Y111" s="447">
        <f t="shared" ref="Y111:Y124" si="56">IF(AND(B111&gt;=344,B111&lt;=358),B111+15,B111)</f>
        <v>0</v>
      </c>
      <c r="Z111" s="491" t="str">
        <f>VLOOKUP(Y111,Treatments!$C$7:$J$407,2)</f>
        <v>No treatment</v>
      </c>
      <c r="AA111" s="495">
        <f t="shared" ref="AA111:AA124" si="57">D111</f>
        <v>0</v>
      </c>
      <c r="AB111" s="433">
        <f>VLOOKUP(Y111,Treatments!$C$7:$J$407,8)</f>
        <v>0</v>
      </c>
      <c r="AC111" s="495">
        <f t="shared" ref="AC111:AD124" si="58">F111</f>
        <v>0</v>
      </c>
      <c r="AD111" s="496">
        <f t="shared" si="58"/>
        <v>0</v>
      </c>
      <c r="AE111" s="433">
        <f>AA111*AB111*AC111*AD111</f>
        <v>0</v>
      </c>
      <c r="AF111" s="411">
        <f t="shared" si="48"/>
        <v>0</v>
      </c>
      <c r="AI111" s="447">
        <f t="shared" si="49"/>
        <v>162</v>
      </c>
      <c r="AJ111" s="491" t="str">
        <f>VLOOKUP(AI111,Treatments!$C$7:$J$407,2)</f>
        <v>Roundup CT</v>
      </c>
      <c r="AK111" s="495">
        <f t="shared" si="50"/>
        <v>1.5</v>
      </c>
      <c r="AL111" s="433">
        <f>VLOOKUP(AI111,Treatments!$C$7:$J$407,8)</f>
        <v>4.5</v>
      </c>
      <c r="AM111" s="495">
        <f t="shared" si="51"/>
        <v>3</v>
      </c>
      <c r="AN111" s="497"/>
      <c r="AO111" s="496">
        <f t="shared" si="52"/>
        <v>1</v>
      </c>
      <c r="AP111" s="433">
        <f t="shared" si="53"/>
        <v>20.25</v>
      </c>
      <c r="AQ111" s="411">
        <f t="shared" si="54"/>
        <v>2025</v>
      </c>
      <c r="AR111" s="1"/>
    </row>
    <row r="112" spans="1:44" ht="15.75" x14ac:dyDescent="0.25">
      <c r="B112" s="435"/>
      <c r="C112" s="491" t="str">
        <f>IF(B112&lt;=0,"",VLOOKUP(B112,Treatments!$C$7:$J$407,2))</f>
        <v/>
      </c>
      <c r="D112" s="492"/>
      <c r="E112" s="433">
        <f>VLOOKUP(B112,Treatments!$C$7:$J$407,8)</f>
        <v>0</v>
      </c>
      <c r="F112" s="435"/>
      <c r="G112" s="493"/>
      <c r="H112" s="433">
        <f t="shared" ref="H112:H122" si="59">D112*E112*F112*G112</f>
        <v>0</v>
      </c>
      <c r="I112" s="411">
        <f t="shared" si="55"/>
        <v>0</v>
      </c>
      <c r="L112" s="305">
        <v>127</v>
      </c>
      <c r="M112" s="491" t="str">
        <f>VLOOKUP(L112,Treatments!$C$7:$J$407,2)</f>
        <v>Amicide 625</v>
      </c>
      <c r="N112" s="306">
        <v>0.5</v>
      </c>
      <c r="O112" s="433">
        <f>VLOOKUP(L112,Treatments!$C$7:$J$407,8)</f>
        <v>6.82</v>
      </c>
      <c r="P112" s="305">
        <v>3</v>
      </c>
      <c r="Q112" s="310"/>
      <c r="R112" s="308">
        <v>1</v>
      </c>
      <c r="S112" s="433">
        <f t="shared" si="46"/>
        <v>10.23</v>
      </c>
      <c r="T112" s="411">
        <f t="shared" si="47"/>
        <v>1023</v>
      </c>
      <c r="U112" s="1"/>
      <c r="Y112" s="447">
        <f t="shared" si="56"/>
        <v>0</v>
      </c>
      <c r="Z112" s="491" t="str">
        <f>VLOOKUP(Y112,Treatments!$C$7:$J$407,2)</f>
        <v>No treatment</v>
      </c>
      <c r="AA112" s="495">
        <f t="shared" si="57"/>
        <v>0</v>
      </c>
      <c r="AB112" s="433">
        <f>VLOOKUP(Y112,Treatments!$C$7:$J$407,8)</f>
        <v>0</v>
      </c>
      <c r="AC112" s="495">
        <f t="shared" si="58"/>
        <v>0</v>
      </c>
      <c r="AD112" s="496">
        <f t="shared" si="58"/>
        <v>0</v>
      </c>
      <c r="AE112" s="433">
        <f t="shared" ref="AE112:AE122" si="60">AA112*AB112*AC112*AD112</f>
        <v>0</v>
      </c>
      <c r="AF112" s="411">
        <f t="shared" si="48"/>
        <v>0</v>
      </c>
      <c r="AI112" s="447">
        <f t="shared" si="49"/>
        <v>127</v>
      </c>
      <c r="AJ112" s="491" t="str">
        <f>VLOOKUP(AI112,Treatments!$C$7:$J$407,2)</f>
        <v>Amicide 625</v>
      </c>
      <c r="AK112" s="495">
        <f t="shared" si="50"/>
        <v>0.5</v>
      </c>
      <c r="AL112" s="433">
        <f>VLOOKUP(AI112,Treatments!$C$7:$J$407,8)</f>
        <v>6.82</v>
      </c>
      <c r="AM112" s="495">
        <f t="shared" si="51"/>
        <v>3</v>
      </c>
      <c r="AN112" s="160"/>
      <c r="AO112" s="496">
        <f t="shared" si="52"/>
        <v>1</v>
      </c>
      <c r="AP112" s="433">
        <f t="shared" si="53"/>
        <v>10.23</v>
      </c>
      <c r="AQ112" s="411">
        <f t="shared" si="54"/>
        <v>1023</v>
      </c>
      <c r="AR112" s="1"/>
    </row>
    <row r="113" spans="2:44" ht="15.75" x14ac:dyDescent="0.25">
      <c r="B113" s="435"/>
      <c r="C113" s="491" t="str">
        <f>IF(B113&lt;=0,"",VLOOKUP(B113,Treatments!$C$7:$J$407,2))</f>
        <v/>
      </c>
      <c r="D113" s="492"/>
      <c r="E113" s="433">
        <f>VLOOKUP(B113,Treatments!$C$7:$J$407,8)</f>
        <v>0</v>
      </c>
      <c r="F113" s="435"/>
      <c r="G113" s="493"/>
      <c r="H113" s="433">
        <f t="shared" si="59"/>
        <v>0</v>
      </c>
      <c r="I113" s="411">
        <f t="shared" si="55"/>
        <v>0</v>
      </c>
      <c r="L113" s="305">
        <v>346</v>
      </c>
      <c r="M113" s="491" t="str">
        <f>VLOOKUP(L113,Treatments!$C$7:$J$407,2)</f>
        <v>Tyne cultivator</v>
      </c>
      <c r="N113" s="306">
        <v>1</v>
      </c>
      <c r="O113" s="433">
        <f>VLOOKUP(L113,Treatments!$C$7:$J$407,8)</f>
        <v>16.225000000000001</v>
      </c>
      <c r="P113" s="305">
        <v>1</v>
      </c>
      <c r="Q113" s="310"/>
      <c r="R113" s="308">
        <v>1</v>
      </c>
      <c r="S113" s="433">
        <f t="shared" si="46"/>
        <v>16.225000000000001</v>
      </c>
      <c r="T113" s="411">
        <f t="shared" si="47"/>
        <v>1622.5000000000002</v>
      </c>
      <c r="U113" s="1"/>
      <c r="Y113" s="447">
        <f t="shared" si="56"/>
        <v>0</v>
      </c>
      <c r="Z113" s="491" t="str">
        <f>VLOOKUP(Y113,Treatments!$C$7:$J$407,2)</f>
        <v>No treatment</v>
      </c>
      <c r="AA113" s="495">
        <f t="shared" si="57"/>
        <v>0</v>
      </c>
      <c r="AB113" s="433">
        <f>VLOOKUP(Y113,Treatments!$C$7:$J$407,8)</f>
        <v>0</v>
      </c>
      <c r="AC113" s="495">
        <f t="shared" si="58"/>
        <v>0</v>
      </c>
      <c r="AD113" s="496">
        <f t="shared" si="58"/>
        <v>0</v>
      </c>
      <c r="AE113" s="433">
        <f t="shared" si="60"/>
        <v>0</v>
      </c>
      <c r="AF113" s="411">
        <f t="shared" si="48"/>
        <v>0</v>
      </c>
      <c r="AI113" s="447">
        <f t="shared" si="49"/>
        <v>361</v>
      </c>
      <c r="AJ113" s="491" t="str">
        <f>VLOOKUP(AI113,Treatments!$C$7:$J$407,2)</f>
        <v>Tyne cultivator</v>
      </c>
      <c r="AK113" s="495">
        <f t="shared" si="50"/>
        <v>1</v>
      </c>
      <c r="AL113" s="433">
        <f>VLOOKUP(AI113,Treatments!$C$7:$J$407,8)</f>
        <v>35.095000000000006</v>
      </c>
      <c r="AM113" s="495">
        <f t="shared" si="51"/>
        <v>1</v>
      </c>
      <c r="AN113" s="498"/>
      <c r="AO113" s="496">
        <f t="shared" si="52"/>
        <v>1</v>
      </c>
      <c r="AP113" s="433">
        <f t="shared" si="53"/>
        <v>35.095000000000006</v>
      </c>
      <c r="AQ113" s="411">
        <f t="shared" si="54"/>
        <v>3509.5000000000005</v>
      </c>
      <c r="AR113" s="1"/>
    </row>
    <row r="114" spans="2:44" ht="15.75" x14ac:dyDescent="0.25">
      <c r="B114" s="435"/>
      <c r="C114" s="491" t="str">
        <f>IF(B114&lt;=0,"",VLOOKUP(B114,Treatments!$C$7:$J$407,2))</f>
        <v/>
      </c>
      <c r="D114" s="492"/>
      <c r="E114" s="433">
        <f>VLOOKUP(B114,Treatments!$C$7:$J$407,8)</f>
        <v>0</v>
      </c>
      <c r="F114" s="435"/>
      <c r="G114" s="493"/>
      <c r="H114" s="433">
        <f t="shared" si="59"/>
        <v>0</v>
      </c>
      <c r="I114" s="411">
        <f t="shared" si="55"/>
        <v>0</v>
      </c>
      <c r="L114" s="305">
        <v>347</v>
      </c>
      <c r="M114" s="491" t="str">
        <f>VLOOKUP(L114,Treatments!$C$7:$J$407,2)</f>
        <v>Chisel plough</v>
      </c>
      <c r="N114" s="306">
        <v>1</v>
      </c>
      <c r="O114" s="433">
        <f>VLOOKUP(L114,Treatments!$C$7:$J$407,8)</f>
        <v>30.257142857142856</v>
      </c>
      <c r="P114" s="305">
        <v>2</v>
      </c>
      <c r="Q114" s="310"/>
      <c r="R114" s="308">
        <v>1</v>
      </c>
      <c r="S114" s="433">
        <f t="shared" si="46"/>
        <v>60.514285714285712</v>
      </c>
      <c r="T114" s="411">
        <f t="shared" si="47"/>
        <v>6051.4285714285716</v>
      </c>
      <c r="U114" s="1"/>
      <c r="Y114" s="447">
        <f t="shared" si="56"/>
        <v>0</v>
      </c>
      <c r="Z114" s="491" t="str">
        <f>VLOOKUP(Y114,Treatments!$C$7:$J$407,2)</f>
        <v>No treatment</v>
      </c>
      <c r="AA114" s="495">
        <f t="shared" si="57"/>
        <v>0</v>
      </c>
      <c r="AB114" s="433">
        <f>VLOOKUP(Y114,Treatments!$C$7:$J$407,8)</f>
        <v>0</v>
      </c>
      <c r="AC114" s="495">
        <f t="shared" si="58"/>
        <v>0</v>
      </c>
      <c r="AD114" s="496">
        <f t="shared" si="58"/>
        <v>0</v>
      </c>
      <c r="AE114" s="433">
        <f t="shared" si="60"/>
        <v>0</v>
      </c>
      <c r="AF114" s="411">
        <f t="shared" si="48"/>
        <v>0</v>
      </c>
      <c r="AI114" s="447">
        <f t="shared" si="49"/>
        <v>362</v>
      </c>
      <c r="AJ114" s="491" t="str">
        <f>VLOOKUP(AI114,Treatments!$C$7:$J$407,2)</f>
        <v>Chisel plough</v>
      </c>
      <c r="AK114" s="495">
        <f t="shared" si="50"/>
        <v>1</v>
      </c>
      <c r="AL114" s="433">
        <f>VLOOKUP(AI114,Treatments!$C$7:$J$407,8)</f>
        <v>56.462857142857146</v>
      </c>
      <c r="AM114" s="495">
        <f t="shared" si="51"/>
        <v>2</v>
      </c>
      <c r="AN114" s="498"/>
      <c r="AO114" s="496">
        <f t="shared" si="52"/>
        <v>1</v>
      </c>
      <c r="AP114" s="433">
        <f t="shared" si="53"/>
        <v>112.92571428571429</v>
      </c>
      <c r="AQ114" s="411">
        <f t="shared" si="54"/>
        <v>11292.571428571429</v>
      </c>
      <c r="AR114" s="1"/>
    </row>
    <row r="115" spans="2:44" ht="15.75" x14ac:dyDescent="0.25">
      <c r="B115" s="435"/>
      <c r="C115" s="491" t="str">
        <f>IF(B115&lt;=0,"",VLOOKUP(B115,Treatments!$C$7:$J$407,2))</f>
        <v/>
      </c>
      <c r="D115" s="492"/>
      <c r="E115" s="433">
        <f>VLOOKUP(B115,Treatments!$C$7:$J$407,8)</f>
        <v>0</v>
      </c>
      <c r="F115" s="435"/>
      <c r="G115" s="493"/>
      <c r="H115" s="433">
        <f t="shared" si="59"/>
        <v>0</v>
      </c>
      <c r="I115" s="411">
        <f t="shared" si="55"/>
        <v>0</v>
      </c>
      <c r="L115" s="305"/>
      <c r="M115" s="491" t="str">
        <f>VLOOKUP(L115,Treatments!$C$7:$J$407,2)</f>
        <v>No treatment</v>
      </c>
      <c r="N115" s="306"/>
      <c r="O115" s="433">
        <f>VLOOKUP(L115,Treatments!$C$7:$J$407,8)</f>
        <v>0</v>
      </c>
      <c r="P115" s="305"/>
      <c r="Q115" s="311"/>
      <c r="R115" s="308">
        <v>1</v>
      </c>
      <c r="S115" s="433">
        <f t="shared" si="46"/>
        <v>0</v>
      </c>
      <c r="T115" s="411">
        <f t="shared" si="47"/>
        <v>0</v>
      </c>
      <c r="U115" s="1"/>
      <c r="Y115" s="447">
        <f t="shared" si="56"/>
        <v>0</v>
      </c>
      <c r="Z115" s="491" t="str">
        <f>VLOOKUP(Y115,Treatments!$C$7:$J$407,2)</f>
        <v>No treatment</v>
      </c>
      <c r="AA115" s="495">
        <f t="shared" si="57"/>
        <v>0</v>
      </c>
      <c r="AB115" s="433">
        <f>VLOOKUP(Y115,Treatments!$C$7:$J$407,8)</f>
        <v>0</v>
      </c>
      <c r="AC115" s="495">
        <f t="shared" si="58"/>
        <v>0</v>
      </c>
      <c r="AD115" s="496">
        <f t="shared" si="58"/>
        <v>0</v>
      </c>
      <c r="AE115" s="433">
        <f t="shared" si="60"/>
        <v>0</v>
      </c>
      <c r="AF115" s="411">
        <f t="shared" si="48"/>
        <v>0</v>
      </c>
      <c r="AI115" s="447">
        <f t="shared" si="49"/>
        <v>0</v>
      </c>
      <c r="AJ115" s="491" t="str">
        <f>VLOOKUP(AI115,Treatments!$C$7:$J$407,2)</f>
        <v>No treatment</v>
      </c>
      <c r="AK115" s="495">
        <f t="shared" si="50"/>
        <v>0</v>
      </c>
      <c r="AL115" s="433">
        <f>VLOOKUP(AI115,Treatments!$C$7:$J$407,8)</f>
        <v>0</v>
      </c>
      <c r="AM115" s="495">
        <f t="shared" si="51"/>
        <v>0</v>
      </c>
      <c r="AN115" s="498"/>
      <c r="AO115" s="496">
        <f t="shared" si="52"/>
        <v>1</v>
      </c>
      <c r="AP115" s="433">
        <f t="shared" si="53"/>
        <v>0</v>
      </c>
      <c r="AQ115" s="411">
        <f t="shared" si="54"/>
        <v>0</v>
      </c>
      <c r="AR115" s="1"/>
    </row>
    <row r="116" spans="2:44" ht="15.75" x14ac:dyDescent="0.25">
      <c r="B116" s="435"/>
      <c r="C116" s="491" t="str">
        <f>IF(B116&lt;=0,"",VLOOKUP(B116,Treatments!$C$7:$J$407,2))</f>
        <v/>
      </c>
      <c r="D116" s="492"/>
      <c r="E116" s="433">
        <f>VLOOKUP(B116,Treatments!$C$7:$J$407,8)</f>
        <v>0</v>
      </c>
      <c r="F116" s="435"/>
      <c r="G116" s="493"/>
      <c r="H116" s="433">
        <f t="shared" si="59"/>
        <v>0</v>
      </c>
      <c r="I116" s="411">
        <f t="shared" si="55"/>
        <v>0</v>
      </c>
      <c r="L116" s="193"/>
      <c r="N116" s="193"/>
      <c r="P116" s="193"/>
      <c r="Q116" s="193"/>
      <c r="R116" s="193"/>
      <c r="U116" s="1"/>
      <c r="Y116" s="447">
        <f t="shared" si="56"/>
        <v>0</v>
      </c>
      <c r="Z116" s="491" t="str">
        <f>VLOOKUP(Y116,Treatments!$C$7:$J$407,2)</f>
        <v>No treatment</v>
      </c>
      <c r="AA116" s="495">
        <f t="shared" si="57"/>
        <v>0</v>
      </c>
      <c r="AB116" s="433">
        <f>VLOOKUP(Y116,Treatments!$C$7:$J$407,8)</f>
        <v>0</v>
      </c>
      <c r="AC116" s="495">
        <f t="shared" si="58"/>
        <v>0</v>
      </c>
      <c r="AD116" s="496">
        <f t="shared" si="58"/>
        <v>0</v>
      </c>
      <c r="AE116" s="433">
        <f t="shared" si="60"/>
        <v>0</v>
      </c>
      <c r="AF116" s="411">
        <f t="shared" si="48"/>
        <v>0</v>
      </c>
      <c r="AR116" s="1"/>
    </row>
    <row r="117" spans="2:44" ht="15.75" x14ac:dyDescent="0.25">
      <c r="B117" s="435"/>
      <c r="C117" s="491" t="str">
        <f>IF(B117&lt;=0,"",VLOOKUP(B117,Treatments!$C$7:$J$407,2))</f>
        <v/>
      </c>
      <c r="D117" s="492"/>
      <c r="E117" s="433">
        <f>VLOOKUP(B117,Treatments!$C$7:$J$407,8)</f>
        <v>0</v>
      </c>
      <c r="F117" s="435"/>
      <c r="G117" s="493"/>
      <c r="H117" s="433">
        <f t="shared" si="59"/>
        <v>0</v>
      </c>
      <c r="I117" s="411">
        <f t="shared" si="55"/>
        <v>0</v>
      </c>
      <c r="L117" s="379" t="s">
        <v>994</v>
      </c>
      <c r="M117" s="483" t="s">
        <v>580</v>
      </c>
      <c r="N117" s="381" t="s">
        <v>616</v>
      </c>
      <c r="O117" s="482" t="s">
        <v>619</v>
      </c>
      <c r="P117" s="382" t="s">
        <v>617</v>
      </c>
      <c r="Q117" s="379"/>
      <c r="R117" s="382" t="s">
        <v>618</v>
      </c>
      <c r="S117" s="487"/>
      <c r="T117" s="487"/>
      <c r="U117" s="1"/>
      <c r="Y117" s="447">
        <f t="shared" si="56"/>
        <v>0</v>
      </c>
      <c r="Z117" s="491" t="str">
        <f>VLOOKUP(Y117,Treatments!$C$7:$J$407,2)</f>
        <v>No treatment</v>
      </c>
      <c r="AA117" s="495">
        <f t="shared" si="57"/>
        <v>0</v>
      </c>
      <c r="AB117" s="433">
        <f>VLOOKUP(Y117,Treatments!$C$7:$J$407,8)</f>
        <v>0</v>
      </c>
      <c r="AC117" s="495">
        <f t="shared" si="58"/>
        <v>0</v>
      </c>
      <c r="AD117" s="496">
        <f t="shared" si="58"/>
        <v>0</v>
      </c>
      <c r="AE117" s="433">
        <f t="shared" si="60"/>
        <v>0</v>
      </c>
      <c r="AF117" s="411">
        <f t="shared" si="48"/>
        <v>0</v>
      </c>
      <c r="AI117" s="499" t="s">
        <v>994</v>
      </c>
      <c r="AJ117" s="5" t="s">
        <v>580</v>
      </c>
      <c r="AK117" s="14" t="s">
        <v>616</v>
      </c>
      <c r="AL117" s="6" t="s">
        <v>619</v>
      </c>
      <c r="AM117" s="1" t="s">
        <v>617</v>
      </c>
      <c r="AN117" s="6"/>
      <c r="AO117" s="1" t="s">
        <v>618</v>
      </c>
      <c r="AP117" s="500"/>
      <c r="AQ117" s="62"/>
      <c r="AR117" s="1"/>
    </row>
    <row r="118" spans="2:44" ht="15.75" x14ac:dyDescent="0.25">
      <c r="B118" s="435"/>
      <c r="C118" s="491" t="str">
        <f>IF(B118&lt;=0,"",VLOOKUP(B118,Treatments!$C$7:$J$407,2))</f>
        <v/>
      </c>
      <c r="D118" s="492"/>
      <c r="E118" s="433">
        <f>VLOOKUP(B118,Treatments!$C$7:$J$407,8)</f>
        <v>0</v>
      </c>
      <c r="F118" s="435"/>
      <c r="G118" s="493"/>
      <c r="H118" s="433">
        <f t="shared" si="59"/>
        <v>0</v>
      </c>
      <c r="I118" s="411">
        <f t="shared" si="55"/>
        <v>0</v>
      </c>
      <c r="L118" s="305">
        <v>345</v>
      </c>
      <c r="M118" s="491" t="str">
        <f>VLOOKUP(L118,Treatments!$C$7:$J$407,2)</f>
        <v>No till seeder</v>
      </c>
      <c r="N118" s="306">
        <v>1</v>
      </c>
      <c r="O118" s="433">
        <f>VLOOKUP(L118,Treatments!$C$7:$J$407,8)</f>
        <v>12.3</v>
      </c>
      <c r="P118" s="305">
        <v>1</v>
      </c>
      <c r="Q118" s="307"/>
      <c r="R118" s="308">
        <v>1</v>
      </c>
      <c r="S118" s="433">
        <f>N118*O118*P118*R118</f>
        <v>12.3</v>
      </c>
      <c r="T118" s="411">
        <f>S118*$D$9</f>
        <v>1230</v>
      </c>
      <c r="U118" s="1"/>
      <c r="Y118" s="447">
        <f t="shared" si="56"/>
        <v>0</v>
      </c>
      <c r="Z118" s="491" t="str">
        <f>VLOOKUP(Y118,Treatments!$C$7:$J$407,2)</f>
        <v>No treatment</v>
      </c>
      <c r="AA118" s="495">
        <f t="shared" si="57"/>
        <v>0</v>
      </c>
      <c r="AB118" s="433">
        <f>VLOOKUP(Y118,Treatments!$C$7:$J$407,8)</f>
        <v>0</v>
      </c>
      <c r="AC118" s="495">
        <f t="shared" si="58"/>
        <v>0</v>
      </c>
      <c r="AD118" s="496">
        <f t="shared" si="58"/>
        <v>0</v>
      </c>
      <c r="AE118" s="433">
        <f t="shared" si="60"/>
        <v>0</v>
      </c>
      <c r="AF118" s="411">
        <f t="shared" si="48"/>
        <v>0</v>
      </c>
      <c r="AI118" s="447">
        <f t="shared" ref="AI118:AI129" si="61">IF(AND(L118&gt;=344,L118&lt;=358),L118+15,L118)</f>
        <v>360</v>
      </c>
      <c r="AJ118" s="491" t="str">
        <f>VLOOKUP(AI118,Treatments!$C$7:$J$407,2)</f>
        <v>No till seeder</v>
      </c>
      <c r="AK118" s="495">
        <f t="shared" ref="AK118:AK129" si="62">N118</f>
        <v>1</v>
      </c>
      <c r="AL118" s="433">
        <f>VLOOKUP(AI118,Treatments!$C$7:$J$407,8)</f>
        <v>32.082500000000003</v>
      </c>
      <c r="AM118" s="495">
        <f t="shared" ref="AM118:AM129" si="63">P118</f>
        <v>1</v>
      </c>
      <c r="AN118" s="494"/>
      <c r="AO118" s="496">
        <f t="shared" ref="AO118:AO129" si="64">R118</f>
        <v>1</v>
      </c>
      <c r="AP118" s="433">
        <f>AK118*AL118*AM118*AO118</f>
        <v>32.082500000000003</v>
      </c>
      <c r="AQ118" s="411">
        <f t="shared" ref="AQ118:AQ129" si="65">AP118*$D$9</f>
        <v>3208.2500000000005</v>
      </c>
      <c r="AR118" s="1"/>
    </row>
    <row r="119" spans="2:44" ht="15.75" x14ac:dyDescent="0.25">
      <c r="B119" s="435"/>
      <c r="C119" s="491" t="str">
        <f>IF(B119&lt;=0,"",VLOOKUP(B119,Treatments!$C$7:$J$407,2))</f>
        <v/>
      </c>
      <c r="D119" s="492"/>
      <c r="E119" s="433">
        <f>VLOOKUP(B119,Treatments!$C$7:$J$407,8)</f>
        <v>0</v>
      </c>
      <c r="F119" s="435"/>
      <c r="G119" s="493"/>
      <c r="H119" s="433">
        <f t="shared" si="59"/>
        <v>0</v>
      </c>
      <c r="I119" s="411">
        <f t="shared" si="55"/>
        <v>0</v>
      </c>
      <c r="L119" s="305">
        <v>279</v>
      </c>
      <c r="M119" s="491" t="str">
        <f>VLOOKUP(L119,Treatments!$C$7:$J$407,2)</f>
        <v>Butterfly pea seed</v>
      </c>
      <c r="N119" s="306">
        <v>10</v>
      </c>
      <c r="O119" s="433">
        <f>VLOOKUP(L119,Treatments!$C$7:$J$407,8)</f>
        <v>3.5</v>
      </c>
      <c r="P119" s="305">
        <v>1</v>
      </c>
      <c r="Q119" s="310"/>
      <c r="R119" s="308">
        <v>1</v>
      </c>
      <c r="S119" s="433">
        <f t="shared" ref="S119:S129" si="66">N119*O119*P119*R119</f>
        <v>35</v>
      </c>
      <c r="T119" s="411">
        <f t="shared" ref="T119:T129" si="67">S119*$D$9</f>
        <v>3500</v>
      </c>
      <c r="U119" s="1"/>
      <c r="Y119" s="447">
        <f t="shared" si="56"/>
        <v>0</v>
      </c>
      <c r="Z119" s="491" t="str">
        <f>VLOOKUP(Y119,Treatments!$C$7:$J$407,2)</f>
        <v>No treatment</v>
      </c>
      <c r="AA119" s="495">
        <f t="shared" si="57"/>
        <v>0</v>
      </c>
      <c r="AB119" s="433">
        <f>VLOOKUP(Y119,Treatments!$C$7:$J$407,8)</f>
        <v>0</v>
      </c>
      <c r="AC119" s="495">
        <f t="shared" si="58"/>
        <v>0</v>
      </c>
      <c r="AD119" s="496">
        <f t="shared" si="58"/>
        <v>0</v>
      </c>
      <c r="AE119" s="433">
        <f t="shared" si="60"/>
        <v>0</v>
      </c>
      <c r="AF119" s="411">
        <f t="shared" si="48"/>
        <v>0</v>
      </c>
      <c r="AI119" s="447">
        <f t="shared" si="61"/>
        <v>279</v>
      </c>
      <c r="AJ119" s="491" t="str">
        <f>VLOOKUP(AI119,Treatments!$C$7:$J$407,2)</f>
        <v>Butterfly pea seed</v>
      </c>
      <c r="AK119" s="495">
        <f t="shared" si="62"/>
        <v>10</v>
      </c>
      <c r="AL119" s="433">
        <f>VLOOKUP(AI119,Treatments!$C$7:$J$407,8)</f>
        <v>3.5</v>
      </c>
      <c r="AM119" s="495">
        <f t="shared" si="63"/>
        <v>1</v>
      </c>
      <c r="AN119" s="160"/>
      <c r="AO119" s="496">
        <f t="shared" si="64"/>
        <v>1</v>
      </c>
      <c r="AP119" s="433">
        <f t="shared" ref="AP119:AP129" si="68">AK119*AL119*AM119*AO119</f>
        <v>35</v>
      </c>
      <c r="AQ119" s="411">
        <f t="shared" si="65"/>
        <v>3500</v>
      </c>
      <c r="AR119" s="1"/>
    </row>
    <row r="120" spans="2:44" ht="15.75" x14ac:dyDescent="0.25">
      <c r="B120" s="435"/>
      <c r="C120" s="491" t="str">
        <f>IF(B120&lt;=0,"",VLOOKUP(B120,Treatments!$C$7:$J$407,2))</f>
        <v/>
      </c>
      <c r="D120" s="492"/>
      <c r="E120" s="433">
        <f>VLOOKUP(B120,Treatments!$C$7:$J$407,8)</f>
        <v>0</v>
      </c>
      <c r="F120" s="435"/>
      <c r="G120" s="493"/>
      <c r="H120" s="433">
        <f t="shared" si="59"/>
        <v>0</v>
      </c>
      <c r="I120" s="411">
        <f t="shared" si="55"/>
        <v>0</v>
      </c>
      <c r="L120" s="305"/>
      <c r="M120" s="491" t="str">
        <f>VLOOKUP(L120,Treatments!$C$7:$J$407,2)</f>
        <v>No treatment</v>
      </c>
      <c r="N120" s="306"/>
      <c r="O120" s="433">
        <f>VLOOKUP(L120,Treatments!$C$7:$J$407,8)</f>
        <v>0</v>
      </c>
      <c r="P120" s="305"/>
      <c r="Q120" s="310"/>
      <c r="R120" s="308"/>
      <c r="S120" s="433">
        <f t="shared" si="66"/>
        <v>0</v>
      </c>
      <c r="T120" s="411">
        <f t="shared" si="67"/>
        <v>0</v>
      </c>
      <c r="U120" s="1"/>
      <c r="Y120" s="447">
        <f t="shared" si="56"/>
        <v>0</v>
      </c>
      <c r="Z120" s="491" t="str">
        <f>VLOOKUP(Y120,Treatments!$C$7:$J$407,2)</f>
        <v>No treatment</v>
      </c>
      <c r="AA120" s="495">
        <f t="shared" si="57"/>
        <v>0</v>
      </c>
      <c r="AB120" s="433">
        <f>VLOOKUP(Y120,Treatments!$C$7:$J$407,8)</f>
        <v>0</v>
      </c>
      <c r="AC120" s="495">
        <f t="shared" si="58"/>
        <v>0</v>
      </c>
      <c r="AD120" s="496">
        <f t="shared" si="58"/>
        <v>0</v>
      </c>
      <c r="AE120" s="433">
        <f t="shared" si="60"/>
        <v>0</v>
      </c>
      <c r="AF120" s="411">
        <f t="shared" si="48"/>
        <v>0</v>
      </c>
      <c r="AI120" s="447">
        <f t="shared" si="61"/>
        <v>0</v>
      </c>
      <c r="AJ120" s="491" t="str">
        <f>VLOOKUP(AI120,Treatments!$C$7:$J$407,2)</f>
        <v>No treatment</v>
      </c>
      <c r="AK120" s="495">
        <f t="shared" si="62"/>
        <v>0</v>
      </c>
      <c r="AL120" s="433">
        <f>VLOOKUP(AI120,Treatments!$C$7:$J$407,8)</f>
        <v>0</v>
      </c>
      <c r="AM120" s="495">
        <f t="shared" si="63"/>
        <v>0</v>
      </c>
      <c r="AN120" s="160"/>
      <c r="AO120" s="496">
        <f t="shared" si="64"/>
        <v>0</v>
      </c>
      <c r="AP120" s="433">
        <f t="shared" si="68"/>
        <v>0</v>
      </c>
      <c r="AQ120" s="411">
        <f t="shared" si="65"/>
        <v>0</v>
      </c>
      <c r="AR120" s="1"/>
    </row>
    <row r="121" spans="2:44" ht="15.75" x14ac:dyDescent="0.25">
      <c r="B121" s="435"/>
      <c r="C121" s="491" t="str">
        <f>IF(B121&lt;=0,"",VLOOKUP(B121,Treatments!$C$7:$J$407,2))</f>
        <v/>
      </c>
      <c r="D121" s="492"/>
      <c r="E121" s="433">
        <f>VLOOKUP(B121,Treatments!$C$7:$J$407,8)</f>
        <v>0</v>
      </c>
      <c r="F121" s="435"/>
      <c r="G121" s="493"/>
      <c r="H121" s="433">
        <f t="shared" si="59"/>
        <v>0</v>
      </c>
      <c r="I121" s="411">
        <f t="shared" si="55"/>
        <v>0</v>
      </c>
      <c r="L121" s="305"/>
      <c r="M121" s="491" t="str">
        <f>VLOOKUP(L121,Treatments!$C$7:$J$407,2)</f>
        <v>No treatment</v>
      </c>
      <c r="N121" s="306"/>
      <c r="O121" s="433">
        <f>VLOOKUP(L121,Treatments!$C$7:$J$407,8)</f>
        <v>0</v>
      </c>
      <c r="P121" s="305"/>
      <c r="Q121" s="310"/>
      <c r="R121" s="308"/>
      <c r="S121" s="433">
        <f t="shared" si="66"/>
        <v>0</v>
      </c>
      <c r="T121" s="411">
        <f t="shared" si="67"/>
        <v>0</v>
      </c>
      <c r="U121" s="1"/>
      <c r="Y121" s="447">
        <f t="shared" si="56"/>
        <v>0</v>
      </c>
      <c r="Z121" s="491" t="str">
        <f>VLOOKUP(Y121,Treatments!$C$7:$J$407,2)</f>
        <v>No treatment</v>
      </c>
      <c r="AA121" s="495">
        <f t="shared" si="57"/>
        <v>0</v>
      </c>
      <c r="AB121" s="433">
        <f>VLOOKUP(Y121,Treatments!$C$7:$J$407,8)</f>
        <v>0</v>
      </c>
      <c r="AC121" s="495">
        <f t="shared" si="58"/>
        <v>0</v>
      </c>
      <c r="AD121" s="496">
        <f t="shared" si="58"/>
        <v>0</v>
      </c>
      <c r="AE121" s="433">
        <f t="shared" si="60"/>
        <v>0</v>
      </c>
      <c r="AF121" s="411">
        <f t="shared" si="48"/>
        <v>0</v>
      </c>
      <c r="AI121" s="447">
        <f t="shared" si="61"/>
        <v>0</v>
      </c>
      <c r="AJ121" s="491" t="str">
        <f>VLOOKUP(AI121,Treatments!$C$7:$J$407,2)</f>
        <v>No treatment</v>
      </c>
      <c r="AK121" s="495">
        <f t="shared" si="62"/>
        <v>0</v>
      </c>
      <c r="AL121" s="433">
        <f>VLOOKUP(AI121,Treatments!$C$7:$J$407,8)</f>
        <v>0</v>
      </c>
      <c r="AM121" s="495">
        <f t="shared" si="63"/>
        <v>0</v>
      </c>
      <c r="AN121" s="160"/>
      <c r="AO121" s="496">
        <f t="shared" si="64"/>
        <v>0</v>
      </c>
      <c r="AP121" s="433">
        <f t="shared" si="68"/>
        <v>0</v>
      </c>
      <c r="AQ121" s="411">
        <f t="shared" si="65"/>
        <v>0</v>
      </c>
      <c r="AR121" s="1"/>
    </row>
    <row r="122" spans="2:44" ht="15.75" x14ac:dyDescent="0.25">
      <c r="B122" s="435"/>
      <c r="C122" s="491" t="str">
        <f>IF(B122&lt;=0,"",VLOOKUP(B122,Treatments!$C$7:$J$407,2))</f>
        <v/>
      </c>
      <c r="D122" s="492"/>
      <c r="E122" s="433">
        <f>VLOOKUP(B122,Treatments!$C$7:$J$407,8)</f>
        <v>0</v>
      </c>
      <c r="F122" s="435"/>
      <c r="G122" s="493"/>
      <c r="H122" s="433">
        <f t="shared" si="59"/>
        <v>0</v>
      </c>
      <c r="I122" s="411">
        <f t="shared" si="55"/>
        <v>0</v>
      </c>
      <c r="L122" s="305"/>
      <c r="M122" s="491" t="str">
        <f>VLOOKUP(L122,Treatments!$C$7:$J$407,2)</f>
        <v>No treatment</v>
      </c>
      <c r="N122" s="306"/>
      <c r="O122" s="433">
        <f>VLOOKUP(L122,Treatments!$C$7:$J$407,8)</f>
        <v>0</v>
      </c>
      <c r="P122" s="305"/>
      <c r="Q122" s="310"/>
      <c r="R122" s="308"/>
      <c r="S122" s="433">
        <f t="shared" si="66"/>
        <v>0</v>
      </c>
      <c r="T122" s="411">
        <f t="shared" si="67"/>
        <v>0</v>
      </c>
      <c r="U122" s="1"/>
      <c r="Y122" s="447">
        <f t="shared" si="56"/>
        <v>0</v>
      </c>
      <c r="Z122" s="491" t="str">
        <f>VLOOKUP(Y122,Treatments!$C$7:$J$407,2)</f>
        <v>No treatment</v>
      </c>
      <c r="AA122" s="495">
        <f t="shared" si="57"/>
        <v>0</v>
      </c>
      <c r="AB122" s="433">
        <f>VLOOKUP(Y122,Treatments!$C$7:$J$407,8)</f>
        <v>0</v>
      </c>
      <c r="AC122" s="495">
        <f t="shared" si="58"/>
        <v>0</v>
      </c>
      <c r="AD122" s="496">
        <f t="shared" si="58"/>
        <v>0</v>
      </c>
      <c r="AE122" s="433">
        <f t="shared" si="60"/>
        <v>0</v>
      </c>
      <c r="AF122" s="411">
        <f t="shared" si="48"/>
        <v>0</v>
      </c>
      <c r="AI122" s="447">
        <f t="shared" si="61"/>
        <v>0</v>
      </c>
      <c r="AJ122" s="491" t="str">
        <f>VLOOKUP(AI122,Treatments!$C$7:$J$407,2)</f>
        <v>No treatment</v>
      </c>
      <c r="AK122" s="495">
        <f t="shared" si="62"/>
        <v>0</v>
      </c>
      <c r="AL122" s="433">
        <f>VLOOKUP(AI122,Treatments!$C$7:$J$407,8)</f>
        <v>0</v>
      </c>
      <c r="AM122" s="495">
        <f t="shared" si="63"/>
        <v>0</v>
      </c>
      <c r="AN122" s="160"/>
      <c r="AO122" s="496">
        <f t="shared" si="64"/>
        <v>0</v>
      </c>
      <c r="AP122" s="433">
        <f t="shared" si="68"/>
        <v>0</v>
      </c>
      <c r="AQ122" s="411">
        <f t="shared" si="65"/>
        <v>0</v>
      </c>
      <c r="AR122" s="1"/>
    </row>
    <row r="123" spans="2:44" ht="15.75" x14ac:dyDescent="0.25">
      <c r="B123" s="435"/>
      <c r="C123" s="491" t="str">
        <f>IF(B123&lt;=0,"",VLOOKUP(B123,Treatments!$C$7:$J$407,2))</f>
        <v/>
      </c>
      <c r="D123" s="492"/>
      <c r="E123" s="433">
        <f>VLOOKUP(B123,Treatments!$C$7:$J$407,8)</f>
        <v>0</v>
      </c>
      <c r="F123" s="435"/>
      <c r="G123" s="493"/>
      <c r="H123" s="433">
        <f>D123*E123*F123*G123</f>
        <v>0</v>
      </c>
      <c r="I123" s="411">
        <f t="shared" si="55"/>
        <v>0</v>
      </c>
      <c r="L123" s="305">
        <v>344</v>
      </c>
      <c r="M123" s="491" t="str">
        <f>VLOOKUP(L123,Treatments!$C$7:$J$407,2)</f>
        <v>Linkage spray rig</v>
      </c>
      <c r="N123" s="306">
        <v>1</v>
      </c>
      <c r="O123" s="433">
        <f>VLOOKUP(L123,Treatments!$C$7:$J$407,8)</f>
        <v>3.3779411764705882</v>
      </c>
      <c r="P123" s="305">
        <v>1</v>
      </c>
      <c r="Q123" s="310"/>
      <c r="R123" s="308">
        <v>1</v>
      </c>
      <c r="S123" s="433">
        <f t="shared" si="66"/>
        <v>3.3779411764705882</v>
      </c>
      <c r="T123" s="411">
        <f t="shared" si="67"/>
        <v>337.79411764705884</v>
      </c>
      <c r="U123" s="1"/>
      <c r="Y123" s="447">
        <f t="shared" si="56"/>
        <v>0</v>
      </c>
      <c r="Z123" s="491" t="str">
        <f>VLOOKUP(Y123,Treatments!$C$7:$J$407,2)</f>
        <v>No treatment</v>
      </c>
      <c r="AA123" s="495">
        <f t="shared" si="57"/>
        <v>0</v>
      </c>
      <c r="AB123" s="433">
        <f>VLOOKUP(Y123,Treatments!$C$7:$J$407,8)</f>
        <v>0</v>
      </c>
      <c r="AC123" s="495">
        <f t="shared" si="58"/>
        <v>0</v>
      </c>
      <c r="AD123" s="496">
        <f t="shared" si="58"/>
        <v>0</v>
      </c>
      <c r="AE123" s="433">
        <f>AA123*AB123*AC123*AD123</f>
        <v>0</v>
      </c>
      <c r="AF123" s="411">
        <f t="shared" si="48"/>
        <v>0</v>
      </c>
      <c r="AI123" s="447">
        <f t="shared" si="61"/>
        <v>359</v>
      </c>
      <c r="AJ123" s="491" t="str">
        <f>VLOOKUP(AI123,Treatments!$C$7:$J$407,2)</f>
        <v>Linkage spray rig</v>
      </c>
      <c r="AK123" s="495">
        <f t="shared" si="62"/>
        <v>1</v>
      </c>
      <c r="AL123" s="433">
        <f>VLOOKUP(AI123,Treatments!$C$7:$J$407,8)</f>
        <v>8.01</v>
      </c>
      <c r="AM123" s="495">
        <f t="shared" si="63"/>
        <v>1</v>
      </c>
      <c r="AN123" s="160"/>
      <c r="AO123" s="496">
        <f t="shared" si="64"/>
        <v>1</v>
      </c>
      <c r="AP123" s="433">
        <f t="shared" si="68"/>
        <v>8.01</v>
      </c>
      <c r="AQ123" s="411">
        <f t="shared" si="65"/>
        <v>801</v>
      </c>
      <c r="AR123" s="1"/>
    </row>
    <row r="124" spans="2:44" ht="15.75" x14ac:dyDescent="0.25">
      <c r="B124" s="435"/>
      <c r="C124" s="491" t="str">
        <f>IF(B124&lt;=0,"",VLOOKUP(B124,Treatments!$C$7:$J$407,2))</f>
        <v/>
      </c>
      <c r="D124" s="492"/>
      <c r="E124" s="433">
        <f>VLOOKUP(B124,Treatments!$C$7:$J$407,8)</f>
        <v>0</v>
      </c>
      <c r="F124" s="435"/>
      <c r="G124" s="493"/>
      <c r="H124" s="433">
        <f>D124*E124*F124*G124</f>
        <v>0</v>
      </c>
      <c r="I124" s="411">
        <f t="shared" si="55"/>
        <v>0</v>
      </c>
      <c r="L124" s="305">
        <v>171</v>
      </c>
      <c r="M124" s="491" t="str">
        <f>VLOOKUP(L124,Treatments!$C$7:$J$407,2)</f>
        <v xml:space="preserve">Spinnaker </v>
      </c>
      <c r="N124" s="306">
        <v>0.15</v>
      </c>
      <c r="O124" s="433">
        <f>VLOOKUP(L124,Treatments!$C$7:$J$407,8)</f>
        <v>255</v>
      </c>
      <c r="P124" s="305">
        <v>1</v>
      </c>
      <c r="Q124" s="310"/>
      <c r="R124" s="308">
        <v>1</v>
      </c>
      <c r="S124" s="433">
        <f t="shared" si="66"/>
        <v>38.25</v>
      </c>
      <c r="T124" s="411">
        <f t="shared" si="67"/>
        <v>3825</v>
      </c>
      <c r="U124" s="1"/>
      <c r="Y124" s="447">
        <f t="shared" si="56"/>
        <v>0</v>
      </c>
      <c r="Z124" s="491" t="str">
        <f>VLOOKUP(Y124,Treatments!$C$7:$J$407,2)</f>
        <v>No treatment</v>
      </c>
      <c r="AA124" s="495">
        <f t="shared" si="57"/>
        <v>0</v>
      </c>
      <c r="AB124" s="433">
        <f>VLOOKUP(Y124,Treatments!$C$7:$J$407,8)</f>
        <v>0</v>
      </c>
      <c r="AC124" s="495">
        <f t="shared" si="58"/>
        <v>0</v>
      </c>
      <c r="AD124" s="496">
        <f t="shared" si="58"/>
        <v>0</v>
      </c>
      <c r="AE124" s="433">
        <f>AA124*AB124*AC124*AD124</f>
        <v>0</v>
      </c>
      <c r="AF124" s="411">
        <f t="shared" si="48"/>
        <v>0</v>
      </c>
      <c r="AI124" s="447">
        <f t="shared" si="61"/>
        <v>171</v>
      </c>
      <c r="AJ124" s="491" t="str">
        <f>VLOOKUP(AI124,Treatments!$C$7:$J$407,2)</f>
        <v xml:space="preserve">Spinnaker </v>
      </c>
      <c r="AK124" s="495">
        <f t="shared" si="62"/>
        <v>0.15</v>
      </c>
      <c r="AL124" s="433">
        <f>VLOOKUP(AI124,Treatments!$C$7:$J$407,8)</f>
        <v>255</v>
      </c>
      <c r="AM124" s="495">
        <f t="shared" si="63"/>
        <v>1</v>
      </c>
      <c r="AN124" s="160"/>
      <c r="AO124" s="496">
        <f t="shared" si="64"/>
        <v>1</v>
      </c>
      <c r="AP124" s="433">
        <f t="shared" si="68"/>
        <v>38.25</v>
      </c>
      <c r="AQ124" s="411">
        <f t="shared" si="65"/>
        <v>3825</v>
      </c>
      <c r="AR124" s="1"/>
    </row>
    <row r="125" spans="2:44" ht="15.75" x14ac:dyDescent="0.25">
      <c r="B125" s="1"/>
      <c r="C125" s="1"/>
      <c r="D125" s="1"/>
      <c r="E125" s="1"/>
      <c r="F125" s="1"/>
      <c r="G125" s="6"/>
      <c r="H125" s="1"/>
      <c r="I125" s="1"/>
      <c r="L125" s="305"/>
      <c r="M125" s="491" t="str">
        <f>VLOOKUP(L125,Treatments!$C$7:$J$407,2)</f>
        <v>No treatment</v>
      </c>
      <c r="N125" s="306"/>
      <c r="O125" s="433">
        <f>VLOOKUP(L125,Treatments!$C$7:$J$407,8)</f>
        <v>0</v>
      </c>
      <c r="P125" s="305"/>
      <c r="Q125" s="310"/>
      <c r="R125" s="308"/>
      <c r="S125" s="433">
        <f t="shared" si="66"/>
        <v>0</v>
      </c>
      <c r="T125" s="411">
        <f t="shared" si="67"/>
        <v>0</v>
      </c>
      <c r="U125" s="1"/>
      <c r="Y125" s="1"/>
      <c r="Z125" s="1"/>
      <c r="AA125" s="6"/>
      <c r="AB125" s="6"/>
      <c r="AC125" s="6"/>
      <c r="AD125" s="6"/>
      <c r="AE125" s="6"/>
      <c r="AF125" s="6"/>
      <c r="AI125" s="447">
        <f t="shared" si="61"/>
        <v>0</v>
      </c>
      <c r="AJ125" s="491" t="str">
        <f>VLOOKUP(AI125,Treatments!$C$7:$J$407,2)</f>
        <v>No treatment</v>
      </c>
      <c r="AK125" s="495">
        <f t="shared" si="62"/>
        <v>0</v>
      </c>
      <c r="AL125" s="433">
        <f>VLOOKUP(AI125,Treatments!$C$7:$J$407,8)</f>
        <v>0</v>
      </c>
      <c r="AM125" s="495">
        <f t="shared" si="63"/>
        <v>0</v>
      </c>
      <c r="AN125" s="160"/>
      <c r="AO125" s="496">
        <f t="shared" si="64"/>
        <v>0</v>
      </c>
      <c r="AP125" s="433">
        <f t="shared" si="68"/>
        <v>0</v>
      </c>
      <c r="AQ125" s="411">
        <f t="shared" si="65"/>
        <v>0</v>
      </c>
      <c r="AR125" s="1"/>
    </row>
    <row r="126" spans="2:44" ht="15.75" x14ac:dyDescent="0.25">
      <c r="B126" s="501" t="s">
        <v>994</v>
      </c>
      <c r="C126" s="502" t="s">
        <v>580</v>
      </c>
      <c r="D126" s="503" t="s">
        <v>616</v>
      </c>
      <c r="E126" s="501" t="s">
        <v>619</v>
      </c>
      <c r="F126" s="504" t="s">
        <v>617</v>
      </c>
      <c r="G126" s="504" t="s">
        <v>618</v>
      </c>
      <c r="H126" s="505"/>
      <c r="I126" s="506"/>
      <c r="L126" s="305"/>
      <c r="M126" s="491" t="str">
        <f>VLOOKUP(L126,Treatments!$C$7:$J$407,2)</f>
        <v>No treatment</v>
      </c>
      <c r="N126" s="306">
        <v>1</v>
      </c>
      <c r="O126" s="433">
        <f>VLOOKUP(L126,Treatments!$C$7:$J$407,8)</f>
        <v>0</v>
      </c>
      <c r="P126" s="305">
        <v>1</v>
      </c>
      <c r="Q126" s="310"/>
      <c r="R126" s="308">
        <v>1</v>
      </c>
      <c r="S126" s="433">
        <f t="shared" si="66"/>
        <v>0</v>
      </c>
      <c r="T126" s="411">
        <f t="shared" si="67"/>
        <v>0</v>
      </c>
      <c r="U126" s="1"/>
      <c r="Y126" s="6" t="s">
        <v>994</v>
      </c>
      <c r="Z126" s="5" t="s">
        <v>580</v>
      </c>
      <c r="AA126" s="6" t="s">
        <v>616</v>
      </c>
      <c r="AB126" s="6" t="s">
        <v>619</v>
      </c>
      <c r="AC126" s="6" t="s">
        <v>617</v>
      </c>
      <c r="AD126" s="6" t="s">
        <v>618</v>
      </c>
      <c r="AE126" s="507"/>
      <c r="AF126" s="508"/>
      <c r="AI126" s="447">
        <f t="shared" si="61"/>
        <v>0</v>
      </c>
      <c r="AJ126" s="491" t="str">
        <f>VLOOKUP(AI126,Treatments!$C$7:$J$407,2)</f>
        <v>No treatment</v>
      </c>
      <c r="AK126" s="495">
        <f t="shared" si="62"/>
        <v>1</v>
      </c>
      <c r="AL126" s="433">
        <f>VLOOKUP(AI126,Treatments!$C$7:$J$407,8)</f>
        <v>0</v>
      </c>
      <c r="AM126" s="495">
        <f t="shared" si="63"/>
        <v>1</v>
      </c>
      <c r="AN126" s="160"/>
      <c r="AO126" s="496">
        <f t="shared" si="64"/>
        <v>1</v>
      </c>
      <c r="AP126" s="433">
        <f t="shared" si="68"/>
        <v>0</v>
      </c>
      <c r="AQ126" s="411">
        <f t="shared" si="65"/>
        <v>0</v>
      </c>
      <c r="AR126" s="1"/>
    </row>
    <row r="127" spans="2:44" ht="15.75" x14ac:dyDescent="0.25">
      <c r="B127" s="435"/>
      <c r="C127" s="491" t="str">
        <f>IF(B127&lt;=0,"",VLOOKUP(B127,Treatments!$C$7:$J$407,2))</f>
        <v/>
      </c>
      <c r="D127" s="492"/>
      <c r="E127" s="433">
        <f>VLOOKUP(B127,Treatments!$C$7:$J$407,8)</f>
        <v>0</v>
      </c>
      <c r="F127" s="435"/>
      <c r="G127" s="493"/>
      <c r="H127" s="433">
        <f t="shared" ref="H127:H138" si="69">D127*E127*F127*G127</f>
        <v>0</v>
      </c>
      <c r="I127" s="411">
        <f>H127*$D$9</f>
        <v>0</v>
      </c>
      <c r="L127" s="305"/>
      <c r="M127" s="491" t="str">
        <f>VLOOKUP(L127,Treatments!$C$7:$J$407,2)</f>
        <v>No treatment</v>
      </c>
      <c r="N127" s="306"/>
      <c r="O127" s="433">
        <f>VLOOKUP(L127,Treatments!$C$7:$J$407,8)</f>
        <v>0</v>
      </c>
      <c r="P127" s="305"/>
      <c r="Q127" s="310"/>
      <c r="R127" s="308">
        <v>0</v>
      </c>
      <c r="S127" s="433">
        <f t="shared" si="66"/>
        <v>0</v>
      </c>
      <c r="T127" s="411">
        <f t="shared" si="67"/>
        <v>0</v>
      </c>
      <c r="U127" s="1"/>
      <c r="Y127" s="447">
        <f>IF(AND(B127&gt;=344,B127&lt;=358),B127+15,B127)</f>
        <v>0</v>
      </c>
      <c r="Z127" s="491" t="str">
        <f>VLOOKUP(Y127,Treatments!$C$7:$J$407,2)</f>
        <v>No treatment</v>
      </c>
      <c r="AA127" s="495">
        <f t="shared" ref="AA127:AA138" si="70">D127</f>
        <v>0</v>
      </c>
      <c r="AB127" s="433">
        <f>VLOOKUP(Y127,Treatments!$C$7:$J$407,8)</f>
        <v>0</v>
      </c>
      <c r="AC127" s="495">
        <f t="shared" ref="AC127:AD138" si="71">F127</f>
        <v>0</v>
      </c>
      <c r="AD127" s="496">
        <f t="shared" si="71"/>
        <v>0</v>
      </c>
      <c r="AE127" s="433">
        <f t="shared" ref="AE127:AE138" si="72">AA127*AB127*AC127*AD127</f>
        <v>0</v>
      </c>
      <c r="AF127" s="411">
        <f t="shared" ref="AF127:AF138" si="73">AE127*$D$9</f>
        <v>0</v>
      </c>
      <c r="AI127" s="447">
        <f t="shared" si="61"/>
        <v>0</v>
      </c>
      <c r="AJ127" s="491" t="str">
        <f>VLOOKUP(AI127,Treatments!$C$7:$J$407,2)</f>
        <v>No treatment</v>
      </c>
      <c r="AK127" s="495">
        <f t="shared" si="62"/>
        <v>0</v>
      </c>
      <c r="AL127" s="433">
        <f>VLOOKUP(AI127,Treatments!$C$7:$J$407,8)</f>
        <v>0</v>
      </c>
      <c r="AM127" s="495">
        <f t="shared" si="63"/>
        <v>0</v>
      </c>
      <c r="AN127" s="160"/>
      <c r="AO127" s="496">
        <f t="shared" si="64"/>
        <v>0</v>
      </c>
      <c r="AP127" s="433">
        <f t="shared" si="68"/>
        <v>0</v>
      </c>
      <c r="AQ127" s="411">
        <f t="shared" si="65"/>
        <v>0</v>
      </c>
      <c r="AR127" s="1"/>
    </row>
    <row r="128" spans="2:44" ht="15.75" x14ac:dyDescent="0.25">
      <c r="B128" s="435"/>
      <c r="C128" s="491" t="str">
        <f>IF(B128&lt;=0,"",VLOOKUP(B128,Treatments!$C$7:$J$407,2))</f>
        <v/>
      </c>
      <c r="D128" s="492"/>
      <c r="E128" s="433">
        <f>VLOOKUP(B128,Treatments!$C$7:$J$407,8)</f>
        <v>0</v>
      </c>
      <c r="F128" s="435"/>
      <c r="G128" s="493"/>
      <c r="H128" s="433">
        <f t="shared" si="69"/>
        <v>0</v>
      </c>
      <c r="I128" s="411">
        <f t="shared" ref="I128:I138" si="74">H128*$D$9</f>
        <v>0</v>
      </c>
      <c r="L128" s="305">
        <v>310</v>
      </c>
      <c r="M128" s="491" t="str">
        <f>VLOOKUP(L128,Treatments!$C$7:$J$407,2)</f>
        <v>Butterfly pea inoculant</v>
      </c>
      <c r="N128" s="306">
        <v>1</v>
      </c>
      <c r="O128" s="433">
        <f>VLOOKUP(L128,Treatments!$C$7:$J$407,8)</f>
        <v>0.48</v>
      </c>
      <c r="P128" s="305">
        <v>1</v>
      </c>
      <c r="Q128" s="310"/>
      <c r="R128" s="308">
        <v>1</v>
      </c>
      <c r="S128" s="433">
        <f t="shared" si="66"/>
        <v>0.48</v>
      </c>
      <c r="T128" s="411">
        <f t="shared" si="67"/>
        <v>48</v>
      </c>
      <c r="U128" s="1"/>
      <c r="Y128" s="447">
        <f t="shared" ref="Y128:Y138" si="75">IF(AND(B128&gt;=344,B128&lt;=358),B128+15,B128)</f>
        <v>0</v>
      </c>
      <c r="Z128" s="491" t="str">
        <f>VLOOKUP(Y128,Treatments!$C$7:$J$407,2)</f>
        <v>No treatment</v>
      </c>
      <c r="AA128" s="495">
        <f t="shared" si="70"/>
        <v>0</v>
      </c>
      <c r="AB128" s="433">
        <f>VLOOKUP(Y128,Treatments!$C$7:$J$407,8)</f>
        <v>0</v>
      </c>
      <c r="AC128" s="495">
        <f t="shared" si="71"/>
        <v>0</v>
      </c>
      <c r="AD128" s="496">
        <f t="shared" si="71"/>
        <v>0</v>
      </c>
      <c r="AE128" s="433">
        <f t="shared" si="72"/>
        <v>0</v>
      </c>
      <c r="AF128" s="411">
        <f t="shared" si="73"/>
        <v>0</v>
      </c>
      <c r="AI128" s="447">
        <f t="shared" si="61"/>
        <v>310</v>
      </c>
      <c r="AJ128" s="491" t="str">
        <f>VLOOKUP(AI128,Treatments!$C$7:$J$407,2)</f>
        <v>Butterfly pea inoculant</v>
      </c>
      <c r="AK128" s="495">
        <f t="shared" si="62"/>
        <v>1</v>
      </c>
      <c r="AL128" s="433">
        <f>VLOOKUP(AI128,Treatments!$C$7:$J$407,8)</f>
        <v>0.48</v>
      </c>
      <c r="AM128" s="495">
        <f t="shared" si="63"/>
        <v>1</v>
      </c>
      <c r="AN128" s="160"/>
      <c r="AO128" s="496">
        <f t="shared" si="64"/>
        <v>1</v>
      </c>
      <c r="AP128" s="433">
        <f t="shared" si="68"/>
        <v>0.48</v>
      </c>
      <c r="AQ128" s="411">
        <f t="shared" si="65"/>
        <v>48</v>
      </c>
      <c r="AR128" s="1"/>
    </row>
    <row r="129" spans="2:44" ht="15.75" x14ac:dyDescent="0.25">
      <c r="B129" s="435"/>
      <c r="C129" s="491" t="str">
        <f>IF(B129&lt;=0,"",VLOOKUP(B129,Treatments!$C$7:$J$407,2))</f>
        <v/>
      </c>
      <c r="D129" s="492"/>
      <c r="E129" s="433">
        <f>VLOOKUP(B129,Treatments!$C$7:$J$407,8)</f>
        <v>0</v>
      </c>
      <c r="F129" s="435"/>
      <c r="G129" s="493"/>
      <c r="H129" s="433">
        <f t="shared" si="69"/>
        <v>0</v>
      </c>
      <c r="I129" s="411">
        <f t="shared" si="74"/>
        <v>0</v>
      </c>
      <c r="L129" s="305"/>
      <c r="M129" s="491" t="str">
        <f>VLOOKUP(L129,Treatments!$C$7:$J$407,2)</f>
        <v>No treatment</v>
      </c>
      <c r="N129" s="306"/>
      <c r="O129" s="433">
        <f>VLOOKUP(L129,Treatments!$C$7:$J$407,8)</f>
        <v>0</v>
      </c>
      <c r="P129" s="305"/>
      <c r="Q129" s="311"/>
      <c r="R129" s="308">
        <v>0</v>
      </c>
      <c r="S129" s="433">
        <f t="shared" si="66"/>
        <v>0</v>
      </c>
      <c r="T129" s="411">
        <f t="shared" si="67"/>
        <v>0</v>
      </c>
      <c r="U129" s="1"/>
      <c r="Y129" s="447">
        <f t="shared" si="75"/>
        <v>0</v>
      </c>
      <c r="Z129" s="491" t="str">
        <f>VLOOKUP(Y129,Treatments!$C$7:$J$407,2)</f>
        <v>No treatment</v>
      </c>
      <c r="AA129" s="495">
        <f t="shared" si="70"/>
        <v>0</v>
      </c>
      <c r="AB129" s="433">
        <f>VLOOKUP(Y129,Treatments!$C$7:$J$407,8)</f>
        <v>0</v>
      </c>
      <c r="AC129" s="495">
        <f t="shared" si="71"/>
        <v>0</v>
      </c>
      <c r="AD129" s="496">
        <f t="shared" si="71"/>
        <v>0</v>
      </c>
      <c r="AE129" s="433">
        <f t="shared" si="72"/>
        <v>0</v>
      </c>
      <c r="AF129" s="411">
        <f t="shared" si="73"/>
        <v>0</v>
      </c>
      <c r="AI129" s="447">
        <f t="shared" si="61"/>
        <v>0</v>
      </c>
      <c r="AJ129" s="491" t="str">
        <f>VLOOKUP(AI129,Treatments!$C$7:$J$407,2)</f>
        <v>No treatment</v>
      </c>
      <c r="AK129" s="495">
        <f t="shared" si="62"/>
        <v>0</v>
      </c>
      <c r="AL129" s="433">
        <f>VLOOKUP(AI129,Treatments!$C$7:$J$407,8)</f>
        <v>0</v>
      </c>
      <c r="AM129" s="495">
        <f t="shared" si="63"/>
        <v>0</v>
      </c>
      <c r="AN129" s="498"/>
      <c r="AO129" s="496">
        <f t="shared" si="64"/>
        <v>0</v>
      </c>
      <c r="AP129" s="433">
        <f t="shared" si="68"/>
        <v>0</v>
      </c>
      <c r="AQ129" s="411">
        <f t="shared" si="65"/>
        <v>0</v>
      </c>
      <c r="AR129" s="1"/>
    </row>
    <row r="130" spans="2:44" ht="15.75" x14ac:dyDescent="0.25">
      <c r="B130" s="435"/>
      <c r="C130" s="491" t="str">
        <f>IF(B130&lt;=0,"",VLOOKUP(B130,Treatments!$C$7:$J$407,2))</f>
        <v/>
      </c>
      <c r="D130" s="492"/>
      <c r="E130" s="433">
        <f>VLOOKUP(B130,Treatments!$C$7:$J$407,8)</f>
        <v>0</v>
      </c>
      <c r="F130" s="435"/>
      <c r="G130" s="493"/>
      <c r="H130" s="433">
        <f t="shared" si="69"/>
        <v>0</v>
      </c>
      <c r="I130" s="411">
        <f t="shared" si="74"/>
        <v>0</v>
      </c>
      <c r="L130" s="304"/>
      <c r="M130" s="1"/>
      <c r="N130" s="304"/>
      <c r="O130" s="1"/>
      <c r="P130" s="304"/>
      <c r="Q130" s="304"/>
      <c r="R130" s="312"/>
      <c r="S130" s="1"/>
      <c r="T130" s="1"/>
      <c r="U130" s="1"/>
      <c r="Y130" s="447">
        <f t="shared" si="75"/>
        <v>0</v>
      </c>
      <c r="Z130" s="491" t="str">
        <f>VLOOKUP(Y130,Treatments!$C$7:$J$407,2)</f>
        <v>No treatment</v>
      </c>
      <c r="AA130" s="495">
        <f t="shared" si="70"/>
        <v>0</v>
      </c>
      <c r="AB130" s="433">
        <f>VLOOKUP(Y130,Treatments!$C$7:$J$407,8)</f>
        <v>0</v>
      </c>
      <c r="AC130" s="495">
        <f t="shared" si="71"/>
        <v>0</v>
      </c>
      <c r="AD130" s="496">
        <f t="shared" si="71"/>
        <v>0</v>
      </c>
      <c r="AE130" s="433">
        <f t="shared" si="72"/>
        <v>0</v>
      </c>
      <c r="AF130" s="411">
        <f t="shared" si="73"/>
        <v>0</v>
      </c>
      <c r="AI130" s="509"/>
      <c r="AJ130" s="1"/>
      <c r="AK130" s="1"/>
      <c r="AL130" s="1"/>
      <c r="AM130" s="1"/>
      <c r="AN130" s="1"/>
      <c r="AO130" s="6"/>
      <c r="AP130" s="1"/>
      <c r="AQ130" s="1"/>
      <c r="AR130" s="1"/>
    </row>
    <row r="131" spans="2:44" ht="15.75" x14ac:dyDescent="0.25">
      <c r="B131" s="435"/>
      <c r="C131" s="491" t="str">
        <f>IF(B131&lt;=0,"",VLOOKUP(B131,Treatments!$C$7:$J$407,2))</f>
        <v/>
      </c>
      <c r="D131" s="492"/>
      <c r="E131" s="433">
        <f>VLOOKUP(B131,Treatments!$C$7:$J$407,8)</f>
        <v>0</v>
      </c>
      <c r="F131" s="435"/>
      <c r="G131" s="493"/>
      <c r="H131" s="433">
        <f t="shared" si="69"/>
        <v>0</v>
      </c>
      <c r="I131" s="411">
        <f t="shared" si="74"/>
        <v>0</v>
      </c>
      <c r="L131" s="379" t="s">
        <v>994</v>
      </c>
      <c r="M131" s="483" t="s">
        <v>581</v>
      </c>
      <c r="N131" s="381" t="s">
        <v>616</v>
      </c>
      <c r="O131" s="482" t="s">
        <v>619</v>
      </c>
      <c r="P131" s="382" t="s">
        <v>617</v>
      </c>
      <c r="Q131" s="379"/>
      <c r="R131" s="382" t="s">
        <v>618</v>
      </c>
      <c r="S131" s="487"/>
      <c r="T131" s="487"/>
      <c r="U131" s="1"/>
      <c r="Y131" s="447">
        <f t="shared" si="75"/>
        <v>0</v>
      </c>
      <c r="Z131" s="491" t="str">
        <f>VLOOKUP(Y131,Treatments!$C$7:$J$407,2)</f>
        <v>No treatment</v>
      </c>
      <c r="AA131" s="495">
        <f t="shared" si="70"/>
        <v>0</v>
      </c>
      <c r="AB131" s="433">
        <f>VLOOKUP(Y131,Treatments!$C$7:$J$407,8)</f>
        <v>0</v>
      </c>
      <c r="AC131" s="495">
        <f t="shared" si="71"/>
        <v>0</v>
      </c>
      <c r="AD131" s="496">
        <f t="shared" si="71"/>
        <v>0</v>
      </c>
      <c r="AE131" s="433">
        <f t="shared" si="72"/>
        <v>0</v>
      </c>
      <c r="AF131" s="411">
        <f t="shared" si="73"/>
        <v>0</v>
      </c>
      <c r="AI131" s="499" t="s">
        <v>994</v>
      </c>
      <c r="AJ131" s="5" t="s">
        <v>581</v>
      </c>
      <c r="AK131" s="14" t="s">
        <v>616</v>
      </c>
      <c r="AL131" s="6" t="s">
        <v>619</v>
      </c>
      <c r="AM131" s="1" t="s">
        <v>617</v>
      </c>
      <c r="AN131" s="6"/>
      <c r="AO131" s="1" t="s">
        <v>618</v>
      </c>
      <c r="AP131" s="500"/>
      <c r="AQ131" s="62"/>
      <c r="AR131" s="1"/>
    </row>
    <row r="132" spans="2:44" ht="15.75" x14ac:dyDescent="0.25">
      <c r="B132" s="435"/>
      <c r="C132" s="491" t="str">
        <f>IF(B132&lt;=0,"",VLOOKUP(B132,Treatments!$C$7:$J$407,2))</f>
        <v/>
      </c>
      <c r="D132" s="492"/>
      <c r="E132" s="433">
        <f>VLOOKUP(B132,Treatments!$C$7:$J$407,8)</f>
        <v>0</v>
      </c>
      <c r="F132" s="435"/>
      <c r="G132" s="493"/>
      <c r="H132" s="433">
        <f t="shared" si="69"/>
        <v>0</v>
      </c>
      <c r="I132" s="411">
        <f t="shared" si="74"/>
        <v>0</v>
      </c>
      <c r="L132" s="305"/>
      <c r="M132" s="491" t="str">
        <f>VLOOKUP(L132,Treatments!$C$7:$J$407,2)</f>
        <v>No treatment</v>
      </c>
      <c r="N132" s="306"/>
      <c r="O132" s="433">
        <f>VLOOKUP(L132,Treatments!$C$7:$J$407,8)</f>
        <v>0</v>
      </c>
      <c r="P132" s="305"/>
      <c r="Q132" s="307"/>
      <c r="R132" s="308">
        <v>0</v>
      </c>
      <c r="S132" s="433">
        <f t="shared" ref="S132:S137" si="76">N132*O132*P132*R132</f>
        <v>0</v>
      </c>
      <c r="T132" s="411">
        <f t="shared" ref="T132:T138" si="77">S132*$D$9</f>
        <v>0</v>
      </c>
      <c r="U132" s="1"/>
      <c r="Y132" s="447">
        <f t="shared" si="75"/>
        <v>0</v>
      </c>
      <c r="Z132" s="491" t="str">
        <f>VLOOKUP(Y132,Treatments!$C$7:$J$407,2)</f>
        <v>No treatment</v>
      </c>
      <c r="AA132" s="495">
        <f t="shared" si="70"/>
        <v>0</v>
      </c>
      <c r="AB132" s="433">
        <f>VLOOKUP(Y132,Treatments!$C$7:$J$407,8)</f>
        <v>0</v>
      </c>
      <c r="AC132" s="495">
        <f t="shared" si="71"/>
        <v>0</v>
      </c>
      <c r="AD132" s="496">
        <f t="shared" si="71"/>
        <v>0</v>
      </c>
      <c r="AE132" s="433">
        <f t="shared" si="72"/>
        <v>0</v>
      </c>
      <c r="AF132" s="411">
        <f t="shared" si="73"/>
        <v>0</v>
      </c>
      <c r="AI132" s="447">
        <f t="shared" ref="AI132:AI137" si="78">IF(AND(L132&gt;=344,L132&lt;=358),L132+15,L132)</f>
        <v>0</v>
      </c>
      <c r="AJ132" s="491" t="str">
        <f>VLOOKUP(AI132,Treatments!$C$7:$J$407,2)</f>
        <v>No treatment</v>
      </c>
      <c r="AK132" s="495">
        <f t="shared" ref="AK132:AK137" si="79">N132</f>
        <v>0</v>
      </c>
      <c r="AL132" s="433">
        <f>VLOOKUP(AI132,Treatments!$C$7:$J$407,8)</f>
        <v>0</v>
      </c>
      <c r="AM132" s="495">
        <f t="shared" ref="AM132:AM137" si="80">P132</f>
        <v>0</v>
      </c>
      <c r="AN132" s="494"/>
      <c r="AO132" s="496">
        <f t="shared" ref="AO132:AO137" si="81">R132</f>
        <v>0</v>
      </c>
      <c r="AP132" s="433">
        <f t="shared" ref="AP132:AP137" si="82">AK132*AL132*AM132*AO132</f>
        <v>0</v>
      </c>
      <c r="AQ132" s="411">
        <f t="shared" ref="AQ132:AQ137" si="83">AP132*$D$9</f>
        <v>0</v>
      </c>
      <c r="AR132" s="1"/>
    </row>
    <row r="133" spans="2:44" ht="15.75" x14ac:dyDescent="0.25">
      <c r="B133" s="435"/>
      <c r="C133" s="491" t="str">
        <f>IF(B133&lt;=0,"",VLOOKUP(B133,Treatments!$C$7:$J$407,2))</f>
        <v/>
      </c>
      <c r="D133" s="492"/>
      <c r="E133" s="433">
        <f>VLOOKUP(B133,Treatments!$C$7:$J$407,8)</f>
        <v>0</v>
      </c>
      <c r="F133" s="435"/>
      <c r="G133" s="493"/>
      <c r="H133" s="433">
        <f t="shared" si="69"/>
        <v>0</v>
      </c>
      <c r="I133" s="411">
        <f t="shared" si="74"/>
        <v>0</v>
      </c>
      <c r="L133" s="305">
        <v>286</v>
      </c>
      <c r="M133" s="491" t="str">
        <f>VLOOKUP(L133,Treatments!$C$7:$J$407,2)</f>
        <v xml:space="preserve">Grass seed </v>
      </c>
      <c r="N133" s="306">
        <v>2</v>
      </c>
      <c r="O133" s="433">
        <f>VLOOKUP(L133,Treatments!$C$7:$J$407,8)</f>
        <v>17</v>
      </c>
      <c r="P133" s="305">
        <v>1</v>
      </c>
      <c r="Q133" s="310"/>
      <c r="R133" s="308">
        <v>1</v>
      </c>
      <c r="S133" s="433">
        <f t="shared" si="76"/>
        <v>34</v>
      </c>
      <c r="T133" s="411">
        <f t="shared" si="77"/>
        <v>3400</v>
      </c>
      <c r="U133" s="1"/>
      <c r="Y133" s="447">
        <f t="shared" si="75"/>
        <v>0</v>
      </c>
      <c r="Z133" s="491" t="str">
        <f>VLOOKUP(Y133,Treatments!$C$7:$J$407,2)</f>
        <v>No treatment</v>
      </c>
      <c r="AA133" s="495">
        <f t="shared" si="70"/>
        <v>0</v>
      </c>
      <c r="AB133" s="433">
        <f>VLOOKUP(Y133,Treatments!$C$7:$J$407,8)</f>
        <v>0</v>
      </c>
      <c r="AC133" s="495">
        <f t="shared" si="71"/>
        <v>0</v>
      </c>
      <c r="AD133" s="496">
        <f t="shared" si="71"/>
        <v>0</v>
      </c>
      <c r="AE133" s="433">
        <f t="shared" si="72"/>
        <v>0</v>
      </c>
      <c r="AF133" s="411">
        <f t="shared" si="73"/>
        <v>0</v>
      </c>
      <c r="AI133" s="447">
        <f t="shared" si="78"/>
        <v>286</v>
      </c>
      <c r="AJ133" s="491" t="str">
        <f>VLOOKUP(AI133,Treatments!$C$7:$J$407,2)</f>
        <v xml:space="preserve">Grass seed </v>
      </c>
      <c r="AK133" s="495">
        <f t="shared" si="79"/>
        <v>2</v>
      </c>
      <c r="AL133" s="433">
        <f>VLOOKUP(AI133,Treatments!$C$7:$J$407,8)</f>
        <v>17</v>
      </c>
      <c r="AM133" s="495">
        <f t="shared" si="80"/>
        <v>1</v>
      </c>
      <c r="AN133" s="160"/>
      <c r="AO133" s="496">
        <f t="shared" si="81"/>
        <v>1</v>
      </c>
      <c r="AP133" s="433">
        <f t="shared" si="82"/>
        <v>34</v>
      </c>
      <c r="AQ133" s="411">
        <f t="shared" si="83"/>
        <v>3400</v>
      </c>
      <c r="AR133" s="1"/>
    </row>
    <row r="134" spans="2:44" ht="15.75" x14ac:dyDescent="0.25">
      <c r="B134" s="435"/>
      <c r="C134" s="491" t="str">
        <f>IF(B134&lt;=0,"",VLOOKUP(B134,Treatments!$C$7:$J$407,2))</f>
        <v/>
      </c>
      <c r="D134" s="492"/>
      <c r="E134" s="433">
        <f>VLOOKUP(B134,Treatments!$C$7:$J$407,8)</f>
        <v>0</v>
      </c>
      <c r="F134" s="435"/>
      <c r="G134" s="493"/>
      <c r="H134" s="433">
        <f t="shared" si="69"/>
        <v>0</v>
      </c>
      <c r="I134" s="411">
        <f t="shared" si="74"/>
        <v>0</v>
      </c>
      <c r="L134" s="305">
        <v>365</v>
      </c>
      <c r="M134" s="491" t="str">
        <f>VLOOKUP(L134,Treatments!$C$7:$J$407,2)</f>
        <v>Grass planter</v>
      </c>
      <c r="N134" s="306">
        <v>1</v>
      </c>
      <c r="O134" s="433">
        <f>VLOOKUP(L134,Treatments!$C$7:$J$407,8)</f>
        <v>11.097</v>
      </c>
      <c r="P134" s="305">
        <v>1</v>
      </c>
      <c r="Q134" s="310"/>
      <c r="R134" s="308">
        <v>1</v>
      </c>
      <c r="S134" s="433">
        <f t="shared" si="76"/>
        <v>11.097</v>
      </c>
      <c r="T134" s="411">
        <f t="shared" si="77"/>
        <v>1109.7</v>
      </c>
      <c r="U134" s="1"/>
      <c r="Y134" s="447">
        <f t="shared" si="75"/>
        <v>0</v>
      </c>
      <c r="Z134" s="491" t="str">
        <f>VLOOKUP(Y134,Treatments!$C$7:$J$407,2)</f>
        <v>No treatment</v>
      </c>
      <c r="AA134" s="495">
        <f t="shared" si="70"/>
        <v>0</v>
      </c>
      <c r="AB134" s="433">
        <f>VLOOKUP(Y134,Treatments!$C$7:$J$407,8)</f>
        <v>0</v>
      </c>
      <c r="AC134" s="495">
        <f t="shared" si="71"/>
        <v>0</v>
      </c>
      <c r="AD134" s="496">
        <f t="shared" si="71"/>
        <v>0</v>
      </c>
      <c r="AE134" s="433">
        <f t="shared" si="72"/>
        <v>0</v>
      </c>
      <c r="AF134" s="411">
        <f t="shared" si="73"/>
        <v>0</v>
      </c>
      <c r="AI134" s="447">
        <f t="shared" si="78"/>
        <v>365</v>
      </c>
      <c r="AJ134" s="491" t="str">
        <f>VLOOKUP(AI134,Treatments!$C$7:$J$407,2)</f>
        <v>Grass planter</v>
      </c>
      <c r="AK134" s="495">
        <f t="shared" si="79"/>
        <v>1</v>
      </c>
      <c r="AL134" s="433">
        <f>VLOOKUP(AI134,Treatments!$C$7:$J$407,8)</f>
        <v>11.097</v>
      </c>
      <c r="AM134" s="495">
        <f t="shared" si="80"/>
        <v>1</v>
      </c>
      <c r="AN134" s="160"/>
      <c r="AO134" s="496">
        <f t="shared" si="81"/>
        <v>1</v>
      </c>
      <c r="AP134" s="433">
        <f t="shared" si="82"/>
        <v>11.097</v>
      </c>
      <c r="AQ134" s="411">
        <f t="shared" si="83"/>
        <v>1109.7</v>
      </c>
      <c r="AR134" s="1"/>
    </row>
    <row r="135" spans="2:44" ht="15.75" x14ac:dyDescent="0.25">
      <c r="B135" s="435"/>
      <c r="C135" s="491" t="str">
        <f>IF(B135&lt;=0,"",VLOOKUP(B135,Treatments!$C$7:$J$407,2))</f>
        <v/>
      </c>
      <c r="D135" s="492"/>
      <c r="E135" s="433">
        <f>VLOOKUP(B135,Treatments!$C$7:$J$407,8)</f>
        <v>0</v>
      </c>
      <c r="F135" s="435"/>
      <c r="G135" s="493"/>
      <c r="H135" s="433">
        <f t="shared" si="69"/>
        <v>0</v>
      </c>
      <c r="I135" s="411">
        <f t="shared" si="74"/>
        <v>0</v>
      </c>
      <c r="L135" s="305"/>
      <c r="M135" s="491" t="str">
        <f>VLOOKUP(L135,Treatments!$C$7:$J$407,2)</f>
        <v>No treatment</v>
      </c>
      <c r="N135" s="306"/>
      <c r="O135" s="433">
        <f>VLOOKUP(L135,Treatments!$C$7:$J$407,8)</f>
        <v>0</v>
      </c>
      <c r="P135" s="305"/>
      <c r="Q135" s="310"/>
      <c r="R135" s="308">
        <v>0.8</v>
      </c>
      <c r="S135" s="433">
        <f t="shared" si="76"/>
        <v>0</v>
      </c>
      <c r="T135" s="411">
        <f t="shared" si="77"/>
        <v>0</v>
      </c>
      <c r="U135" s="1"/>
      <c r="Y135" s="447">
        <f t="shared" si="75"/>
        <v>0</v>
      </c>
      <c r="Z135" s="491" t="str">
        <f>VLOOKUP(Y135,Treatments!$C$7:$J$407,2)</f>
        <v>No treatment</v>
      </c>
      <c r="AA135" s="495">
        <f t="shared" si="70"/>
        <v>0</v>
      </c>
      <c r="AB135" s="433">
        <f>VLOOKUP(Y135,Treatments!$C$7:$J$407,8)</f>
        <v>0</v>
      </c>
      <c r="AC135" s="495">
        <f t="shared" si="71"/>
        <v>0</v>
      </c>
      <c r="AD135" s="496">
        <f t="shared" si="71"/>
        <v>0</v>
      </c>
      <c r="AE135" s="433">
        <f t="shared" si="72"/>
        <v>0</v>
      </c>
      <c r="AF135" s="411">
        <f t="shared" si="73"/>
        <v>0</v>
      </c>
      <c r="AI135" s="447">
        <f t="shared" si="78"/>
        <v>0</v>
      </c>
      <c r="AJ135" s="491" t="str">
        <f>VLOOKUP(AI135,Treatments!$C$7:$J$407,2)</f>
        <v>No treatment</v>
      </c>
      <c r="AK135" s="495">
        <f t="shared" si="79"/>
        <v>0</v>
      </c>
      <c r="AL135" s="433">
        <f>VLOOKUP(AI135,Treatments!$C$7:$J$407,8)</f>
        <v>0</v>
      </c>
      <c r="AM135" s="495">
        <f t="shared" si="80"/>
        <v>0</v>
      </c>
      <c r="AN135" s="160"/>
      <c r="AO135" s="496">
        <f t="shared" si="81"/>
        <v>0.8</v>
      </c>
      <c r="AP135" s="433">
        <f t="shared" si="82"/>
        <v>0</v>
      </c>
      <c r="AQ135" s="411">
        <f t="shared" si="83"/>
        <v>0</v>
      </c>
      <c r="AR135" s="1"/>
    </row>
    <row r="136" spans="2:44" ht="15.75" x14ac:dyDescent="0.25">
      <c r="B136" s="435"/>
      <c r="C136" s="491" t="str">
        <f>IF(B136&lt;=0,"",VLOOKUP(B136,Treatments!$C$7:$J$407,2))</f>
        <v/>
      </c>
      <c r="D136" s="492"/>
      <c r="E136" s="433">
        <f>VLOOKUP(B136,Treatments!$C$7:$J$407,8)</f>
        <v>0</v>
      </c>
      <c r="F136" s="435"/>
      <c r="G136" s="493"/>
      <c r="H136" s="433">
        <f t="shared" si="69"/>
        <v>0</v>
      </c>
      <c r="I136" s="411">
        <f t="shared" si="74"/>
        <v>0</v>
      </c>
      <c r="L136" s="305"/>
      <c r="M136" s="491" t="str">
        <f>VLOOKUP(L136,Treatments!$C$7:$J$407,2)</f>
        <v>No treatment</v>
      </c>
      <c r="N136" s="306"/>
      <c r="O136" s="433">
        <f>VLOOKUP(L136,Treatments!$C$7:$J$407,8)</f>
        <v>0</v>
      </c>
      <c r="P136" s="305"/>
      <c r="Q136" s="310"/>
      <c r="R136" s="308"/>
      <c r="S136" s="433">
        <f t="shared" si="76"/>
        <v>0</v>
      </c>
      <c r="T136" s="411">
        <f t="shared" si="77"/>
        <v>0</v>
      </c>
      <c r="U136" s="1"/>
      <c r="Y136" s="447">
        <f t="shared" si="75"/>
        <v>0</v>
      </c>
      <c r="Z136" s="491" t="str">
        <f>VLOOKUP(Y136,Treatments!$C$7:$J$407,2)</f>
        <v>No treatment</v>
      </c>
      <c r="AA136" s="495">
        <f t="shared" si="70"/>
        <v>0</v>
      </c>
      <c r="AB136" s="433">
        <f>VLOOKUP(Y136,Treatments!$C$7:$J$407,8)</f>
        <v>0</v>
      </c>
      <c r="AC136" s="495">
        <f t="shared" si="71"/>
        <v>0</v>
      </c>
      <c r="AD136" s="496">
        <f t="shared" si="71"/>
        <v>0</v>
      </c>
      <c r="AE136" s="433">
        <f t="shared" si="72"/>
        <v>0</v>
      </c>
      <c r="AF136" s="411">
        <f t="shared" si="73"/>
        <v>0</v>
      </c>
      <c r="AI136" s="447">
        <f t="shared" si="78"/>
        <v>0</v>
      </c>
      <c r="AJ136" s="491" t="str">
        <f>VLOOKUP(AI136,Treatments!$C$7:$J$407,2)</f>
        <v>No treatment</v>
      </c>
      <c r="AK136" s="495">
        <f t="shared" si="79"/>
        <v>0</v>
      </c>
      <c r="AL136" s="433">
        <f>VLOOKUP(AI136,Treatments!$C$7:$J$407,8)</f>
        <v>0</v>
      </c>
      <c r="AM136" s="495">
        <f t="shared" si="80"/>
        <v>0</v>
      </c>
      <c r="AN136" s="160"/>
      <c r="AO136" s="496">
        <f t="shared" si="81"/>
        <v>0</v>
      </c>
      <c r="AP136" s="433">
        <f t="shared" si="82"/>
        <v>0</v>
      </c>
      <c r="AQ136" s="411">
        <f t="shared" si="83"/>
        <v>0</v>
      </c>
      <c r="AR136" s="1"/>
    </row>
    <row r="137" spans="2:44" ht="15.75" x14ac:dyDescent="0.25">
      <c r="B137" s="435"/>
      <c r="C137" s="491" t="str">
        <f>IF(B137&lt;=0,"",VLOOKUP(B137,Treatments!$C$7:$J$407,2))</f>
        <v/>
      </c>
      <c r="D137" s="492"/>
      <c r="E137" s="433">
        <f>VLOOKUP(B137,Treatments!$C$7:$J$407,8)</f>
        <v>0</v>
      </c>
      <c r="F137" s="435"/>
      <c r="G137" s="493"/>
      <c r="H137" s="433">
        <f t="shared" si="69"/>
        <v>0</v>
      </c>
      <c r="I137" s="411">
        <f t="shared" si="74"/>
        <v>0</v>
      </c>
      <c r="L137" s="305"/>
      <c r="M137" s="491" t="str">
        <f>VLOOKUP(L137,Treatments!$C$7:$J$407,2)</f>
        <v>No treatment</v>
      </c>
      <c r="N137" s="306"/>
      <c r="O137" s="433">
        <f>VLOOKUP(L137,Treatments!$C$7:$J$407,8)</f>
        <v>0</v>
      </c>
      <c r="P137" s="305"/>
      <c r="Q137" s="311"/>
      <c r="R137" s="308"/>
      <c r="S137" s="433">
        <f t="shared" si="76"/>
        <v>0</v>
      </c>
      <c r="T137" s="411">
        <f t="shared" si="77"/>
        <v>0</v>
      </c>
      <c r="U137" s="1"/>
      <c r="Y137" s="447">
        <f t="shared" si="75"/>
        <v>0</v>
      </c>
      <c r="Z137" s="491" t="str">
        <f>VLOOKUP(Y137,Treatments!$C$7:$J$407,2)</f>
        <v>No treatment</v>
      </c>
      <c r="AA137" s="495">
        <f t="shared" si="70"/>
        <v>0</v>
      </c>
      <c r="AB137" s="433">
        <f>VLOOKUP(Y137,Treatments!$C$7:$J$407,8)</f>
        <v>0</v>
      </c>
      <c r="AC137" s="495">
        <f t="shared" si="71"/>
        <v>0</v>
      </c>
      <c r="AD137" s="496">
        <f t="shared" si="71"/>
        <v>0</v>
      </c>
      <c r="AE137" s="433">
        <f t="shared" si="72"/>
        <v>0</v>
      </c>
      <c r="AF137" s="411">
        <f t="shared" si="73"/>
        <v>0</v>
      </c>
      <c r="AI137" s="447">
        <f t="shared" si="78"/>
        <v>0</v>
      </c>
      <c r="AJ137" s="491" t="str">
        <f>VLOOKUP(AI137,Treatments!$C$7:$J$407,2)</f>
        <v>No treatment</v>
      </c>
      <c r="AK137" s="495">
        <f t="shared" si="79"/>
        <v>0</v>
      </c>
      <c r="AL137" s="433">
        <f>VLOOKUP(AI137,Treatments!$C$7:$J$407,8)</f>
        <v>0</v>
      </c>
      <c r="AM137" s="495">
        <f t="shared" si="80"/>
        <v>0</v>
      </c>
      <c r="AN137" s="498"/>
      <c r="AO137" s="496">
        <f t="shared" si="81"/>
        <v>0</v>
      </c>
      <c r="AP137" s="433">
        <f t="shared" si="82"/>
        <v>0</v>
      </c>
      <c r="AQ137" s="411">
        <f t="shared" si="83"/>
        <v>0</v>
      </c>
      <c r="AR137" s="1"/>
    </row>
    <row r="138" spans="2:44" ht="15.75" x14ac:dyDescent="0.25">
      <c r="B138" s="435"/>
      <c r="C138" s="491" t="str">
        <f>IF(B138&lt;=0,"",VLOOKUP(B138,Treatments!$C$7:$J$407,2))</f>
        <v/>
      </c>
      <c r="D138" s="492"/>
      <c r="E138" s="433">
        <f>VLOOKUP(B138,Treatments!$C$7:$J$407,8)</f>
        <v>0</v>
      </c>
      <c r="F138" s="435"/>
      <c r="G138" s="493"/>
      <c r="H138" s="433">
        <f t="shared" si="69"/>
        <v>0</v>
      </c>
      <c r="I138" s="411">
        <f t="shared" si="74"/>
        <v>0</v>
      </c>
      <c r="L138" s="1"/>
      <c r="M138" s="14"/>
      <c r="N138" s="13" t="s">
        <v>584</v>
      </c>
      <c r="O138" s="6"/>
      <c r="P138" s="1"/>
      <c r="Q138" s="6"/>
      <c r="R138" s="1"/>
      <c r="S138" s="510">
        <f>SUM(S110:S137)</f>
        <v>251.85805042016807</v>
      </c>
      <c r="T138" s="411">
        <f t="shared" si="77"/>
        <v>25185.805042016807</v>
      </c>
      <c r="U138" s="1"/>
      <c r="Y138" s="447">
        <f t="shared" si="75"/>
        <v>0</v>
      </c>
      <c r="Z138" s="491" t="str">
        <f>VLOOKUP(Y138,Treatments!$C$7:$J$407,2)</f>
        <v>No treatment</v>
      </c>
      <c r="AA138" s="495">
        <f t="shared" si="70"/>
        <v>0</v>
      </c>
      <c r="AB138" s="433">
        <f>VLOOKUP(Y138,Treatments!$C$7:$J$407,8)</f>
        <v>0</v>
      </c>
      <c r="AC138" s="495">
        <f t="shared" si="71"/>
        <v>0</v>
      </c>
      <c r="AD138" s="496">
        <f t="shared" si="71"/>
        <v>0</v>
      </c>
      <c r="AE138" s="433">
        <f t="shared" si="72"/>
        <v>0</v>
      </c>
      <c r="AF138" s="411">
        <f t="shared" si="73"/>
        <v>0</v>
      </c>
      <c r="AI138" s="1"/>
      <c r="AJ138" s="14"/>
      <c r="AK138" s="13" t="s">
        <v>584</v>
      </c>
      <c r="AL138" s="6"/>
      <c r="AM138" s="1"/>
      <c r="AN138" s="6"/>
      <c r="AO138" s="1"/>
      <c r="AP138" s="510">
        <f>SUM(AP110:AP137)</f>
        <v>361.45021428571431</v>
      </c>
      <c r="AQ138" s="510">
        <f>SUM(AQ110:AQ137)</f>
        <v>36145.021428571425</v>
      </c>
      <c r="AR138" s="1"/>
    </row>
    <row r="139" spans="2:44" x14ac:dyDescent="0.2">
      <c r="B139" s="1"/>
      <c r="C139" s="1"/>
      <c r="D139" s="1"/>
      <c r="E139" s="1"/>
      <c r="F139" s="1"/>
      <c r="G139" s="6"/>
      <c r="H139" s="1"/>
      <c r="I139" s="1"/>
      <c r="L139" s="1"/>
      <c r="M139" s="1"/>
      <c r="N139" s="1"/>
      <c r="O139" s="1"/>
      <c r="P139" s="1"/>
      <c r="Q139" s="1"/>
      <c r="R139" s="1"/>
      <c r="S139" s="1"/>
      <c r="T139" s="1"/>
      <c r="U139" s="1"/>
      <c r="Y139" s="1"/>
      <c r="Z139" s="1"/>
      <c r="AA139" s="6"/>
      <c r="AB139" s="6"/>
      <c r="AC139" s="6"/>
      <c r="AD139" s="6"/>
      <c r="AE139" s="6"/>
      <c r="AF139" s="6"/>
      <c r="AI139" s="1"/>
      <c r="AJ139" s="1"/>
      <c r="AK139" s="1"/>
      <c r="AL139" s="1"/>
      <c r="AM139" s="1"/>
      <c r="AN139" s="1"/>
      <c r="AO139" s="1"/>
      <c r="AP139" s="1"/>
      <c r="AQ139" s="1"/>
      <c r="AR139" s="1"/>
    </row>
    <row r="140" spans="2:44" ht="15.75" x14ac:dyDescent="0.25">
      <c r="B140" s="501" t="s">
        <v>994</v>
      </c>
      <c r="C140" s="502" t="s">
        <v>581</v>
      </c>
      <c r="D140" s="503" t="s">
        <v>616</v>
      </c>
      <c r="E140" s="501" t="s">
        <v>619</v>
      </c>
      <c r="F140" s="504" t="s">
        <v>617</v>
      </c>
      <c r="G140" s="504" t="s">
        <v>618</v>
      </c>
      <c r="H140" s="505"/>
      <c r="I140" s="506"/>
      <c r="L140" s="1"/>
      <c r="M140" s="1"/>
      <c r="N140" s="1"/>
      <c r="O140" s="1"/>
      <c r="P140" s="1"/>
      <c r="Q140" s="1"/>
      <c r="R140" s="1"/>
      <c r="S140" s="511"/>
      <c r="T140" s="512"/>
      <c r="U140" s="1"/>
      <c r="Y140" s="6" t="s">
        <v>994</v>
      </c>
      <c r="Z140" s="5" t="s">
        <v>581</v>
      </c>
      <c r="AA140" s="6" t="s">
        <v>616</v>
      </c>
      <c r="AB140" s="6" t="s">
        <v>619</v>
      </c>
      <c r="AC140" s="6" t="s">
        <v>617</v>
      </c>
      <c r="AD140" s="6" t="s">
        <v>618</v>
      </c>
      <c r="AE140" s="507"/>
      <c r="AF140" s="508"/>
      <c r="AI140" s="1"/>
      <c r="AJ140" s="1"/>
      <c r="AK140" s="1"/>
      <c r="AL140" s="1"/>
      <c r="AM140" s="1"/>
      <c r="AN140" s="1"/>
      <c r="AO140" s="1"/>
      <c r="AP140" s="511"/>
      <c r="AQ140" s="512"/>
      <c r="AR140" s="1"/>
    </row>
    <row r="141" spans="2:44" ht="15.75" x14ac:dyDescent="0.25">
      <c r="B141" s="305"/>
      <c r="C141" s="491" t="str">
        <f>IF(B141&lt;=0,"",VLOOKUP(B141,Treatments!$C$7:$J$407,2))</f>
        <v/>
      </c>
      <c r="D141" s="306"/>
      <c r="E141" s="433">
        <f>VLOOKUP(B141,Treatments!$C$7:$J$407,8)</f>
        <v>0</v>
      </c>
      <c r="F141" s="305"/>
      <c r="G141" s="308"/>
      <c r="H141" s="433">
        <f t="shared" ref="H141:H147" si="84">D141*E141*F141*G141</f>
        <v>0</v>
      </c>
      <c r="I141" s="411">
        <f>H141*$D$9</f>
        <v>0</v>
      </c>
      <c r="L141" s="1"/>
      <c r="N141" s="1"/>
      <c r="O141" s="1"/>
      <c r="P141" s="1"/>
      <c r="Q141" s="1"/>
      <c r="R141" s="12" t="s">
        <v>794</v>
      </c>
      <c r="S141" s="513"/>
      <c r="T141" s="510">
        <f>S141*$D$9</f>
        <v>0</v>
      </c>
      <c r="U141" s="1"/>
      <c r="Y141" s="447">
        <f t="shared" ref="Y141:Y146" si="85">IF(AND(B141&gt;=344,B141&lt;=358),B141+15,B141)</f>
        <v>0</v>
      </c>
      <c r="Z141" s="491" t="str">
        <f>VLOOKUP(Y141,Treatments!$C$7:$J$407,2)</f>
        <v>No treatment</v>
      </c>
      <c r="AA141" s="495">
        <f>D141</f>
        <v>0</v>
      </c>
      <c r="AB141" s="433">
        <f>VLOOKUP(Y141,Treatments!$C$7:$J$407,8)</f>
        <v>0</v>
      </c>
      <c r="AC141" s="495">
        <f>F141</f>
        <v>0</v>
      </c>
      <c r="AD141" s="496">
        <f t="shared" ref="AD141:AD147" si="86">G141</f>
        <v>0</v>
      </c>
      <c r="AE141" s="433">
        <f t="shared" ref="AE141:AE147" si="87">AA141*AB141*AC141*AD141</f>
        <v>0</v>
      </c>
      <c r="AF141" s="411">
        <f t="shared" ref="AF141:AF147" si="88">AE141*$D$9</f>
        <v>0</v>
      </c>
      <c r="AI141" s="1"/>
      <c r="AK141" s="1"/>
      <c r="AL141" s="1"/>
      <c r="AM141" s="1"/>
      <c r="AN141" s="1"/>
      <c r="AO141" s="12" t="s">
        <v>794</v>
      </c>
      <c r="AP141" s="510">
        <f>S141</f>
        <v>0</v>
      </c>
      <c r="AQ141" s="510">
        <f>AP141*$D$9</f>
        <v>0</v>
      </c>
      <c r="AR141" s="1"/>
    </row>
    <row r="142" spans="2:44" ht="15.75" x14ac:dyDescent="0.25">
      <c r="B142" s="305"/>
      <c r="C142" s="491" t="str">
        <f>IF(B142&lt;=0,"",VLOOKUP(B142,Treatments!$C$7:$J$407,2))</f>
        <v/>
      </c>
      <c r="D142" s="306"/>
      <c r="E142" s="433">
        <f>VLOOKUP(B142,Treatments!$C$7:$J$407,8)</f>
        <v>0</v>
      </c>
      <c r="F142" s="305"/>
      <c r="G142" s="308"/>
      <c r="H142" s="433">
        <f t="shared" si="84"/>
        <v>0</v>
      </c>
      <c r="I142" s="411">
        <f t="shared" ref="I142:I147" si="89">H142*$D$9</f>
        <v>0</v>
      </c>
      <c r="L142" s="1"/>
      <c r="M142" s="1"/>
      <c r="N142" s="1"/>
      <c r="O142" s="1"/>
      <c r="P142" s="1"/>
      <c r="Q142" s="12" t="s">
        <v>585</v>
      </c>
      <c r="R142" s="514">
        <v>0.05</v>
      </c>
      <c r="S142" s="510">
        <f>S141+S140+S138</f>
        <v>251.85805042016807</v>
      </c>
      <c r="T142" s="510">
        <f>T141+T140+T138</f>
        <v>25185.805042016807</v>
      </c>
      <c r="U142" s="1"/>
      <c r="Y142" s="447">
        <f t="shared" si="85"/>
        <v>0</v>
      </c>
      <c r="Z142" s="491" t="str">
        <f>VLOOKUP(Y142,Treatments!$C$7:$J$407,2)</f>
        <v>No treatment</v>
      </c>
      <c r="AA142" s="495">
        <f t="shared" ref="AA142:AA147" si="90">D142</f>
        <v>0</v>
      </c>
      <c r="AB142" s="433">
        <f>VLOOKUP(Y142,Treatments!$C$7:$J$407,8)</f>
        <v>0</v>
      </c>
      <c r="AC142" s="495">
        <f t="shared" ref="AC142:AC147" si="91">F142</f>
        <v>0</v>
      </c>
      <c r="AD142" s="496">
        <f t="shared" si="86"/>
        <v>0</v>
      </c>
      <c r="AE142" s="433">
        <f t="shared" si="87"/>
        <v>0</v>
      </c>
      <c r="AF142" s="411">
        <f t="shared" si="88"/>
        <v>0</v>
      </c>
      <c r="AI142" s="1"/>
      <c r="AJ142" s="1"/>
      <c r="AK142" s="1"/>
      <c r="AL142" s="1"/>
      <c r="AM142" s="1"/>
      <c r="AN142" s="12" t="s">
        <v>585</v>
      </c>
      <c r="AO142" s="496">
        <f>R142</f>
        <v>0.05</v>
      </c>
      <c r="AP142" s="510">
        <f>AP141+AP140+AP138</f>
        <v>361.45021428571431</v>
      </c>
      <c r="AQ142" s="510">
        <f>AQ141+AQ140+AQ138</f>
        <v>36145.021428571425</v>
      </c>
      <c r="AR142" s="1"/>
    </row>
    <row r="143" spans="2:44" ht="15.75" x14ac:dyDescent="0.25">
      <c r="B143" s="305"/>
      <c r="C143" s="491" t="str">
        <f>IF(B143&lt;=0,"",VLOOKUP(B143,Treatments!$C$7:$J$407,2))</f>
        <v/>
      </c>
      <c r="D143" s="306"/>
      <c r="E143" s="433">
        <f>VLOOKUP(B143,Treatments!$C$7:$J$407,8)</f>
        <v>0</v>
      </c>
      <c r="F143" s="305"/>
      <c r="G143" s="308"/>
      <c r="H143" s="433">
        <f t="shared" si="84"/>
        <v>0</v>
      </c>
      <c r="I143" s="411">
        <f t="shared" si="89"/>
        <v>0</v>
      </c>
      <c r="L143" s="1"/>
      <c r="N143" s="1"/>
      <c r="O143" s="17" t="s">
        <v>586</v>
      </c>
      <c r="P143" s="12" t="s">
        <v>587</v>
      </c>
      <c r="Q143" s="420">
        <v>5</v>
      </c>
      <c r="R143" s="1" t="s">
        <v>588</v>
      </c>
      <c r="S143" s="511">
        <f>PMT(R142,Q143,S142)*-1</f>
        <v>58.172862352777486</v>
      </c>
      <c r="T143" s="1" t="s">
        <v>589</v>
      </c>
      <c r="U143" s="1"/>
      <c r="Y143" s="447">
        <f t="shared" si="85"/>
        <v>0</v>
      </c>
      <c r="Z143" s="491" t="str">
        <f>VLOOKUP(Y143,Treatments!$C$7:$J$407,2)</f>
        <v>No treatment</v>
      </c>
      <c r="AA143" s="495">
        <f t="shared" si="90"/>
        <v>0</v>
      </c>
      <c r="AB143" s="433">
        <f>VLOOKUP(Y143,Treatments!$C$7:$J$407,8)</f>
        <v>0</v>
      </c>
      <c r="AC143" s="495">
        <f t="shared" si="91"/>
        <v>0</v>
      </c>
      <c r="AD143" s="496">
        <f t="shared" si="86"/>
        <v>0</v>
      </c>
      <c r="AE143" s="433">
        <f t="shared" si="87"/>
        <v>0</v>
      </c>
      <c r="AF143" s="411">
        <f t="shared" si="88"/>
        <v>0</v>
      </c>
      <c r="AI143" s="1"/>
      <c r="AK143" s="1"/>
      <c r="AL143" s="17" t="s">
        <v>586</v>
      </c>
      <c r="AM143" s="12" t="s">
        <v>587</v>
      </c>
      <c r="AN143" s="447">
        <f>Q143</f>
        <v>5</v>
      </c>
      <c r="AO143" s="1" t="s">
        <v>588</v>
      </c>
      <c r="AP143" s="511">
        <f>PMT(AO142,AN143,AP142)*-1</f>
        <v>83.485890278062115</v>
      </c>
      <c r="AQ143" s="1" t="s">
        <v>589</v>
      </c>
      <c r="AR143" s="1"/>
    </row>
    <row r="144" spans="2:44" x14ac:dyDescent="0.2">
      <c r="B144" s="435"/>
      <c r="C144" s="491" t="str">
        <f>IF(B144&lt;=0,"",VLOOKUP(B144,Treatments!$C$7:$J$407,2))</f>
        <v/>
      </c>
      <c r="D144" s="492"/>
      <c r="E144" s="433">
        <f>VLOOKUP(B144,Treatments!$C$7:$J$407,8)</f>
        <v>0</v>
      </c>
      <c r="F144" s="435"/>
      <c r="G144" s="493"/>
      <c r="H144" s="433">
        <f t="shared" si="84"/>
        <v>0</v>
      </c>
      <c r="I144" s="411">
        <f t="shared" si="89"/>
        <v>0</v>
      </c>
      <c r="L144" s="1"/>
      <c r="N144" s="1"/>
      <c r="T144" s="1"/>
      <c r="U144" s="1"/>
      <c r="Y144" s="447">
        <f t="shared" si="85"/>
        <v>0</v>
      </c>
      <c r="Z144" s="491" t="str">
        <f>VLOOKUP(Y144,Treatments!$C$7:$J$407,2)</f>
        <v>No treatment</v>
      </c>
      <c r="AA144" s="495">
        <f t="shared" si="90"/>
        <v>0</v>
      </c>
      <c r="AB144" s="433">
        <f>VLOOKUP(Y144,Treatments!$C$7:$J$407,8)</f>
        <v>0</v>
      </c>
      <c r="AC144" s="495">
        <f t="shared" si="91"/>
        <v>0</v>
      </c>
      <c r="AD144" s="496">
        <f t="shared" si="86"/>
        <v>0</v>
      </c>
      <c r="AE144" s="433">
        <f t="shared" si="87"/>
        <v>0</v>
      </c>
      <c r="AF144" s="411">
        <f t="shared" si="88"/>
        <v>0</v>
      </c>
      <c r="AI144" s="1"/>
      <c r="AJ144" s="1"/>
      <c r="AK144" s="1"/>
      <c r="AL144" s="1"/>
      <c r="AM144" s="1"/>
      <c r="AN144" s="1"/>
      <c r="AO144" s="1"/>
      <c r="AP144" s="1"/>
      <c r="AQ144" s="1"/>
      <c r="AR144" s="1"/>
    </row>
    <row r="145" spans="2:44" x14ac:dyDescent="0.2">
      <c r="B145" s="435"/>
      <c r="C145" s="491" t="str">
        <f>IF(B145&lt;=0,"",VLOOKUP(B145,Treatments!$C$7:$J$407,2))</f>
        <v/>
      </c>
      <c r="D145" s="492"/>
      <c r="E145" s="433">
        <f>VLOOKUP(B145,Treatments!$C$7:$J$407,8)</f>
        <v>0</v>
      </c>
      <c r="F145" s="435"/>
      <c r="G145" s="493"/>
      <c r="H145" s="433">
        <f t="shared" si="84"/>
        <v>0</v>
      </c>
      <c r="I145" s="411">
        <f t="shared" si="89"/>
        <v>0</v>
      </c>
      <c r="L145" s="1"/>
      <c r="M145" s="1"/>
      <c r="N145" s="1"/>
      <c r="O145" s="1"/>
      <c r="P145" s="1"/>
      <c r="Q145" s="1"/>
      <c r="R145" s="1"/>
      <c r="S145" s="1"/>
      <c r="T145" s="1"/>
      <c r="U145" s="1"/>
      <c r="Y145" s="447">
        <f t="shared" si="85"/>
        <v>0</v>
      </c>
      <c r="Z145" s="491" t="str">
        <f>VLOOKUP(Y145,Treatments!$C$7:$J$407,2)</f>
        <v>No treatment</v>
      </c>
      <c r="AA145" s="495">
        <f t="shared" si="90"/>
        <v>0</v>
      </c>
      <c r="AB145" s="433">
        <f>VLOOKUP(Y145,Treatments!$C$7:$J$407,8)</f>
        <v>0</v>
      </c>
      <c r="AC145" s="495">
        <f t="shared" si="91"/>
        <v>0</v>
      </c>
      <c r="AD145" s="496">
        <f t="shared" si="86"/>
        <v>0</v>
      </c>
      <c r="AE145" s="433">
        <f t="shared" si="87"/>
        <v>0</v>
      </c>
      <c r="AF145" s="411">
        <f t="shared" si="88"/>
        <v>0</v>
      </c>
      <c r="AI145" s="1"/>
      <c r="AJ145" s="1"/>
      <c r="AK145" s="1"/>
      <c r="AL145" s="1"/>
      <c r="AM145" s="1"/>
      <c r="AN145" s="1"/>
      <c r="AO145" s="1"/>
      <c r="AP145" s="1"/>
      <c r="AQ145" s="1"/>
      <c r="AR145" s="1"/>
    </row>
    <row r="146" spans="2:44" x14ac:dyDescent="0.2">
      <c r="B146" s="435"/>
      <c r="C146" s="491" t="str">
        <f>IF(B146&lt;=0,"",VLOOKUP(B146,Treatments!$C$7:$J$407,2))</f>
        <v/>
      </c>
      <c r="D146" s="492"/>
      <c r="E146" s="433">
        <f>VLOOKUP(B146,Treatments!$C$7:$J$407,8)</f>
        <v>0</v>
      </c>
      <c r="F146" s="435"/>
      <c r="G146" s="493"/>
      <c r="H146" s="433">
        <f t="shared" si="84"/>
        <v>0</v>
      </c>
      <c r="I146" s="411">
        <f t="shared" si="89"/>
        <v>0</v>
      </c>
      <c r="L146" s="1"/>
      <c r="M146" s="1"/>
      <c r="N146" s="1"/>
      <c r="O146" s="1"/>
      <c r="P146" s="1"/>
      <c r="Q146" s="1"/>
      <c r="R146" s="1"/>
      <c r="S146" s="1"/>
      <c r="T146" s="1"/>
      <c r="U146" s="1"/>
      <c r="Y146" s="447">
        <f t="shared" si="85"/>
        <v>0</v>
      </c>
      <c r="Z146" s="491" t="str">
        <f>VLOOKUP(Y146,Treatments!$C$7:$J$407,2)</f>
        <v>No treatment</v>
      </c>
      <c r="AA146" s="495">
        <f t="shared" si="90"/>
        <v>0</v>
      </c>
      <c r="AB146" s="433">
        <f>VLOOKUP(Y146,Treatments!$C$7:$J$407,8)</f>
        <v>0</v>
      </c>
      <c r="AC146" s="495">
        <f t="shared" si="91"/>
        <v>0</v>
      </c>
      <c r="AD146" s="496">
        <f t="shared" si="86"/>
        <v>0</v>
      </c>
      <c r="AE146" s="433">
        <f t="shared" si="87"/>
        <v>0</v>
      </c>
      <c r="AF146" s="411">
        <f t="shared" si="88"/>
        <v>0</v>
      </c>
      <c r="AI146" s="1"/>
      <c r="AJ146" s="1"/>
      <c r="AK146" s="1"/>
      <c r="AL146" s="1"/>
      <c r="AM146" s="1"/>
      <c r="AN146" s="1"/>
      <c r="AO146" s="1"/>
      <c r="AP146" s="1"/>
      <c r="AQ146" s="1"/>
      <c r="AR146" s="1"/>
    </row>
    <row r="147" spans="2:44" x14ac:dyDescent="0.2">
      <c r="B147" s="1"/>
      <c r="C147" s="1" t="s">
        <v>586</v>
      </c>
      <c r="D147" s="492">
        <v>1</v>
      </c>
      <c r="E147" s="433">
        <f>S143</f>
        <v>58.172862352777486</v>
      </c>
      <c r="F147" s="435">
        <v>1</v>
      </c>
      <c r="G147" s="493">
        <v>1</v>
      </c>
      <c r="H147" s="433">
        <f t="shared" si="84"/>
        <v>58.172862352777486</v>
      </c>
      <c r="I147" s="411">
        <f t="shared" si="89"/>
        <v>5817.2862352777483</v>
      </c>
      <c r="L147" s="1"/>
      <c r="M147" s="1"/>
      <c r="N147" s="1"/>
      <c r="O147" s="1"/>
      <c r="P147" s="1"/>
      <c r="Q147" s="1"/>
      <c r="R147" s="1"/>
      <c r="S147" s="1"/>
      <c r="T147" s="1"/>
      <c r="U147" s="1"/>
      <c r="Y147" s="1"/>
      <c r="Z147" s="1" t="s">
        <v>586</v>
      </c>
      <c r="AA147" s="495">
        <f t="shared" si="90"/>
        <v>1</v>
      </c>
      <c r="AB147" s="433">
        <f>AP143</f>
        <v>83.485890278062115</v>
      </c>
      <c r="AC147" s="495">
        <f t="shared" si="91"/>
        <v>1</v>
      </c>
      <c r="AD147" s="496">
        <f t="shared" si="86"/>
        <v>1</v>
      </c>
      <c r="AE147" s="433">
        <f t="shared" si="87"/>
        <v>83.485890278062115</v>
      </c>
      <c r="AF147" s="411">
        <f t="shared" si="88"/>
        <v>8348.5890278062107</v>
      </c>
      <c r="AI147" s="1"/>
      <c r="AJ147" s="1"/>
      <c r="AK147" s="1"/>
      <c r="AL147" s="1"/>
      <c r="AM147" s="1"/>
      <c r="AN147" s="1"/>
      <c r="AO147" s="1"/>
      <c r="AP147" s="1"/>
      <c r="AQ147" s="1"/>
      <c r="AR147" s="1"/>
    </row>
    <row r="148" spans="2:44" ht="15.75" x14ac:dyDescent="0.25">
      <c r="B148" s="515"/>
      <c r="C148" s="515"/>
      <c r="D148" s="515"/>
      <c r="E148" s="516"/>
      <c r="F148" s="517" t="s">
        <v>796</v>
      </c>
      <c r="G148" s="515"/>
      <c r="H148" s="510">
        <f>SUM(H110:H147)</f>
        <v>58.172862352777486</v>
      </c>
      <c r="I148" s="510">
        <f>SUM(I110:I147)</f>
        <v>5817.2862352777483</v>
      </c>
      <c r="L148" s="1" t="s">
        <v>791</v>
      </c>
      <c r="M148" s="1"/>
      <c r="N148" s="1"/>
      <c r="O148" s="1"/>
      <c r="P148" s="1"/>
      <c r="Q148" s="1"/>
      <c r="R148" s="1"/>
      <c r="S148" s="1"/>
      <c r="T148" s="1"/>
      <c r="U148" s="1"/>
      <c r="Y148" s="515"/>
      <c r="Z148" s="515"/>
      <c r="AA148" s="518"/>
      <c r="AB148" s="516"/>
      <c r="AC148" s="518" t="s">
        <v>796</v>
      </c>
      <c r="AD148" s="518"/>
      <c r="AE148" s="510">
        <f>SUM(AE110:AE147)</f>
        <v>83.485890278062115</v>
      </c>
      <c r="AF148" s="510">
        <f>SUM(AF110:AF147)</f>
        <v>8348.5890278062107</v>
      </c>
      <c r="AI148" s="1"/>
      <c r="AJ148" s="1"/>
      <c r="AK148" s="1"/>
      <c r="AL148" s="1"/>
      <c r="AM148" s="1"/>
      <c r="AN148" s="1"/>
      <c r="AO148" s="1"/>
      <c r="AP148" s="1"/>
      <c r="AQ148" s="1"/>
      <c r="AR148" s="1"/>
    </row>
    <row r="149" spans="2:44" x14ac:dyDescent="0.2">
      <c r="B149" s="515"/>
      <c r="D149" s="515"/>
      <c r="E149" s="516"/>
      <c r="F149" s="515"/>
      <c r="G149" s="515"/>
      <c r="H149" s="515"/>
      <c r="L149" s="1" t="s">
        <v>790</v>
      </c>
      <c r="M149" s="1"/>
      <c r="N149" s="1"/>
      <c r="O149" s="1"/>
      <c r="P149" s="1"/>
      <c r="Q149" s="1"/>
      <c r="R149" s="1"/>
      <c r="S149" s="1"/>
      <c r="T149" s="1"/>
      <c r="U149" s="1"/>
    </row>
    <row r="150" spans="2:44" x14ac:dyDescent="0.2">
      <c r="D150" s="515"/>
      <c r="E150" s="516"/>
      <c r="F150" s="515"/>
      <c r="G150" s="515"/>
      <c r="H150" s="515"/>
      <c r="L150" s="1"/>
      <c r="M150" s="1"/>
      <c r="N150" s="1"/>
      <c r="O150" s="1"/>
      <c r="P150" s="1"/>
      <c r="Q150" s="1"/>
      <c r="R150" s="1"/>
      <c r="S150" s="1"/>
      <c r="T150" s="1"/>
      <c r="U150" s="1"/>
    </row>
    <row r="151" spans="2:44" x14ac:dyDescent="0.2">
      <c r="B151"/>
      <c r="C151"/>
      <c r="D151"/>
      <c r="E151" s="516"/>
      <c r="F151" s="515"/>
      <c r="G151" s="515"/>
      <c r="H151" s="515"/>
      <c r="L151" s="1" t="s">
        <v>394</v>
      </c>
      <c r="M151" s="1"/>
      <c r="N151" s="1"/>
      <c r="O151" s="1"/>
      <c r="P151" s="1"/>
      <c r="Q151" s="1"/>
      <c r="R151" s="1"/>
      <c r="S151" s="1"/>
      <c r="T151" s="1"/>
      <c r="U151" s="1"/>
    </row>
    <row r="152" spans="2:44" x14ac:dyDescent="0.2">
      <c r="H152" s="515"/>
      <c r="L152" s="1"/>
      <c r="M152" s="1"/>
      <c r="N152" s="1"/>
      <c r="O152" s="1"/>
      <c r="P152" s="1"/>
      <c r="Q152" s="1"/>
      <c r="R152" s="1"/>
      <c r="S152" s="1"/>
      <c r="T152" s="1"/>
      <c r="U152" s="1"/>
    </row>
    <row r="153" spans="2:44" ht="15.75" x14ac:dyDescent="0.25">
      <c r="B153" s="551" t="s">
        <v>897</v>
      </c>
      <c r="C153" s="552"/>
      <c r="G153" s="551" t="s">
        <v>897</v>
      </c>
      <c r="H153" s="552"/>
      <c r="L153" s="1" t="s">
        <v>793</v>
      </c>
      <c r="M153" s="1"/>
      <c r="N153" s="1"/>
      <c r="O153" s="1"/>
      <c r="P153" s="1"/>
      <c r="Q153" s="1"/>
      <c r="R153" s="1"/>
      <c r="S153" s="1"/>
      <c r="T153" s="1"/>
      <c r="U153" s="1"/>
    </row>
    <row r="154" spans="2:44" ht="15.75" x14ac:dyDescent="0.25">
      <c r="B154" s="553" t="s">
        <v>400</v>
      </c>
      <c r="C154" s="555"/>
      <c r="D154" s="554" t="s">
        <v>993</v>
      </c>
      <c r="E154" s="554" t="s">
        <v>904</v>
      </c>
      <c r="G154" s="553" t="s">
        <v>393</v>
      </c>
      <c r="H154" s="555"/>
      <c r="I154" s="554" t="s">
        <v>993</v>
      </c>
      <c r="J154" s="554" t="s">
        <v>904</v>
      </c>
      <c r="L154" s="1" t="s">
        <v>798</v>
      </c>
      <c r="M154" s="1"/>
      <c r="N154" s="1"/>
      <c r="O154" s="1"/>
      <c r="P154" s="1"/>
      <c r="Q154" s="1"/>
      <c r="R154" s="1"/>
      <c r="S154" s="1"/>
      <c r="T154" s="1"/>
    </row>
    <row r="155" spans="2:44" ht="15.75" x14ac:dyDescent="0.25">
      <c r="B155" s="454" t="s">
        <v>898</v>
      </c>
      <c r="C155" s="519"/>
      <c r="D155" s="455">
        <f>L60</f>
        <v>70775.943434638975</v>
      </c>
      <c r="E155" s="455">
        <f>D155/$D$8</f>
        <v>707.75943434638975</v>
      </c>
      <c r="F155" s="515"/>
      <c r="G155" s="456" t="s">
        <v>898</v>
      </c>
      <c r="H155" s="456"/>
      <c r="I155" s="457">
        <f t="shared" ref="I155:J160" si="92">D155</f>
        <v>70775.943434638975</v>
      </c>
      <c r="J155" s="457">
        <f t="shared" si="92"/>
        <v>707.75943434638975</v>
      </c>
      <c r="L155" s="1" t="s">
        <v>799</v>
      </c>
      <c r="M155" s="1"/>
      <c r="N155" s="1"/>
      <c r="O155" s="1"/>
      <c r="P155" s="1"/>
      <c r="Q155" s="1"/>
      <c r="R155" s="1"/>
      <c r="S155" s="1"/>
      <c r="T155" s="1"/>
    </row>
    <row r="156" spans="2:44" ht="15.75" x14ac:dyDescent="0.25">
      <c r="B156" s="458" t="s">
        <v>797</v>
      </c>
      <c r="C156" s="459"/>
      <c r="D156" s="460">
        <f>H22</f>
        <v>53255.517581820503</v>
      </c>
      <c r="E156" s="460">
        <f t="shared" ref="E156:E162" si="93">D156/$D$8</f>
        <v>532.55517581820504</v>
      </c>
      <c r="F156" s="515"/>
      <c r="G156" s="458" t="s">
        <v>797</v>
      </c>
      <c r="H156" s="458"/>
      <c r="I156" s="460">
        <f t="shared" si="92"/>
        <v>53255.517581820503</v>
      </c>
      <c r="J156" s="461">
        <f t="shared" si="92"/>
        <v>532.55517581820504</v>
      </c>
      <c r="L156" s="520"/>
    </row>
    <row r="157" spans="2:44" ht="15.75" x14ac:dyDescent="0.25">
      <c r="B157" s="462" t="s">
        <v>399</v>
      </c>
      <c r="C157" s="463"/>
      <c r="D157" s="464">
        <f>H35+J35+L35</f>
        <v>988.26986499159227</v>
      </c>
      <c r="E157" s="464">
        <f t="shared" si="93"/>
        <v>9.8826986499159233</v>
      </c>
      <c r="F157" s="515"/>
      <c r="G157" s="462" t="s">
        <v>899</v>
      </c>
      <c r="H157" s="462"/>
      <c r="I157" s="465">
        <f t="shared" si="92"/>
        <v>988.26986499159227</v>
      </c>
      <c r="J157" s="466">
        <f t="shared" si="92"/>
        <v>9.8826986499159233</v>
      </c>
      <c r="M157" s="520"/>
    </row>
    <row r="158" spans="2:44" ht="15.75" x14ac:dyDescent="0.25">
      <c r="B158" s="467" t="s">
        <v>880</v>
      </c>
      <c r="C158" s="463"/>
      <c r="D158" s="464">
        <f>L75</f>
        <v>2854.2485335614692</v>
      </c>
      <c r="E158" s="464">
        <f t="shared" si="93"/>
        <v>28.542485335614693</v>
      </c>
      <c r="F158" s="515"/>
      <c r="G158" s="467" t="s">
        <v>880</v>
      </c>
      <c r="H158" s="467"/>
      <c r="I158" s="465">
        <f t="shared" si="92"/>
        <v>2854.2485335614692</v>
      </c>
      <c r="J158" s="466">
        <f t="shared" si="92"/>
        <v>28.542485335614693</v>
      </c>
    </row>
    <row r="159" spans="2:44" ht="15.75" x14ac:dyDescent="0.25">
      <c r="B159" s="467" t="s">
        <v>881</v>
      </c>
      <c r="C159" s="463"/>
      <c r="D159" s="464">
        <f>M47</f>
        <v>27.118750912698047</v>
      </c>
      <c r="E159" s="464">
        <f t="shared" si="93"/>
        <v>0.27118750912698047</v>
      </c>
      <c r="G159" s="467" t="s">
        <v>881</v>
      </c>
      <c r="H159" s="467"/>
      <c r="I159" s="465">
        <f t="shared" si="92"/>
        <v>27.118750912698047</v>
      </c>
      <c r="J159" s="466">
        <f t="shared" si="92"/>
        <v>0.27118750912698047</v>
      </c>
    </row>
    <row r="160" spans="2:44" ht="15.75" x14ac:dyDescent="0.25">
      <c r="B160" s="467" t="s">
        <v>872</v>
      </c>
      <c r="C160" s="463"/>
      <c r="D160" s="464">
        <f>D75+H75</f>
        <v>356.82566990392166</v>
      </c>
      <c r="E160" s="464">
        <f t="shared" si="93"/>
        <v>3.5682566990392166</v>
      </c>
      <c r="F160" s="515"/>
      <c r="G160" s="467" t="s">
        <v>872</v>
      </c>
      <c r="H160" s="467"/>
      <c r="I160" s="465">
        <f t="shared" si="92"/>
        <v>356.82566990392166</v>
      </c>
      <c r="J160" s="466">
        <f t="shared" si="92"/>
        <v>3.5682566990392166</v>
      </c>
    </row>
    <row r="161" spans="2:13" ht="15.75" x14ac:dyDescent="0.25">
      <c r="B161" s="468" t="s">
        <v>755</v>
      </c>
      <c r="C161" s="469"/>
      <c r="D161" s="470">
        <f>I148</f>
        <v>5817.2862352777483</v>
      </c>
      <c r="E161" s="470">
        <f t="shared" si="93"/>
        <v>58.172862352777486</v>
      </c>
      <c r="F161" s="515"/>
      <c r="G161" s="468" t="s">
        <v>754</v>
      </c>
      <c r="H161" s="468"/>
      <c r="I161" s="465">
        <f>AF148</f>
        <v>8348.5890278062107</v>
      </c>
      <c r="J161" s="466">
        <f>I161/$D$8</f>
        <v>83.485890278062101</v>
      </c>
    </row>
    <row r="162" spans="2:13" ht="15.75" x14ac:dyDescent="0.25">
      <c r="B162" s="471" t="s">
        <v>900</v>
      </c>
      <c r="C162" s="521"/>
      <c r="D162" s="472">
        <f>SUM(D156:D161)</f>
        <v>63299.266636467932</v>
      </c>
      <c r="E162" s="472">
        <f t="shared" si="93"/>
        <v>632.99266636467928</v>
      </c>
      <c r="F162" s="515"/>
      <c r="G162" s="471" t="s">
        <v>900</v>
      </c>
      <c r="H162" s="471"/>
      <c r="I162" s="472">
        <f>SUM(I156:I161)</f>
        <v>65830.569428996387</v>
      </c>
      <c r="J162" s="472">
        <f>I162/D8</f>
        <v>658.30569428996387</v>
      </c>
    </row>
    <row r="163" spans="2:13" x14ac:dyDescent="0.2">
      <c r="B163" s="427"/>
      <c r="C163" s="427"/>
      <c r="D163" s="427"/>
      <c r="E163" s="427"/>
      <c r="G163" s="427"/>
      <c r="H163" s="427"/>
      <c r="I163" s="427"/>
      <c r="J163" s="427"/>
    </row>
    <row r="164" spans="2:13" ht="15.75" x14ac:dyDescent="0.25">
      <c r="B164" s="473" t="s">
        <v>901</v>
      </c>
      <c r="C164" s="522"/>
      <c r="D164" s="474">
        <f>D155-D162</f>
        <v>7476.6767981710436</v>
      </c>
      <c r="E164" s="474">
        <f>D164/D8</f>
        <v>74.76676798171043</v>
      </c>
      <c r="G164" s="473" t="s">
        <v>901</v>
      </c>
      <c r="H164" s="473"/>
      <c r="I164" s="474">
        <f>I155-I162</f>
        <v>4945.3740056425886</v>
      </c>
      <c r="J164" s="474">
        <f>I164/$D$8</f>
        <v>49.453740056425886</v>
      </c>
      <c r="K164" s="523"/>
    </row>
    <row r="165" spans="2:13" ht="15.75" x14ac:dyDescent="0.25">
      <c r="B165" s="473" t="s">
        <v>737</v>
      </c>
      <c r="C165" s="475"/>
      <c r="D165" s="474">
        <f>H88</f>
        <v>1575.7796983114013</v>
      </c>
      <c r="E165" s="474">
        <f>D165/D8</f>
        <v>15.757796983114012</v>
      </c>
      <c r="F165" s="515"/>
      <c r="G165" s="473" t="s">
        <v>737</v>
      </c>
      <c r="H165" s="475"/>
      <c r="I165" s="474">
        <f>H88</f>
        <v>1575.7796983114013</v>
      </c>
      <c r="J165" s="515"/>
    </row>
    <row r="166" spans="2:13" ht="15.75" x14ac:dyDescent="0.25">
      <c r="B166" s="473" t="s">
        <v>675</v>
      </c>
      <c r="C166" s="522"/>
      <c r="D166" s="474">
        <f>D164-D165</f>
        <v>5900.8970998596424</v>
      </c>
      <c r="E166" s="474">
        <f>D166/$D$8</f>
        <v>59.008970998596425</v>
      </c>
      <c r="F166" s="515"/>
      <c r="G166" s="473" t="s">
        <v>902</v>
      </c>
      <c r="H166" s="473"/>
      <c r="I166" s="474">
        <f>I164-I165</f>
        <v>3369.5943073311873</v>
      </c>
      <c r="J166" s="474">
        <f>I166/$D$8</f>
        <v>33.695943073311874</v>
      </c>
    </row>
    <row r="167" spans="2:13" ht="15.75" x14ac:dyDescent="0.25">
      <c r="B167" s="473" t="s">
        <v>739</v>
      </c>
      <c r="C167" s="522"/>
      <c r="D167" s="522"/>
      <c r="E167" s="476">
        <f>(E60-F22)/$D$8</f>
        <v>92.489213639096491</v>
      </c>
      <c r="F167" s="515"/>
      <c r="J167" s="515"/>
    </row>
    <row r="168" spans="2:13" x14ac:dyDescent="0.2">
      <c r="F168" s="515"/>
      <c r="J168" s="524"/>
    </row>
    <row r="169" spans="2:13" x14ac:dyDescent="0.2">
      <c r="F169" s="515"/>
      <c r="I169" s="515"/>
      <c r="J169" s="515"/>
    </row>
    <row r="170" spans="2:13" x14ac:dyDescent="0.2">
      <c r="B170" s="1"/>
      <c r="C170" s="1"/>
      <c r="D170" s="1"/>
      <c r="E170" s="524"/>
      <c r="F170" s="515"/>
      <c r="G170" s="1"/>
      <c r="H170" s="1"/>
      <c r="I170" s="1"/>
      <c r="J170" s="524"/>
    </row>
    <row r="171" spans="2:13" x14ac:dyDescent="0.2">
      <c r="G171" s="1"/>
      <c r="H171" s="1"/>
      <c r="I171" s="1"/>
      <c r="J171" s="515"/>
    </row>
    <row r="172" spans="2:13" ht="15.75" thickBot="1" x14ac:dyDescent="0.25">
      <c r="B172" s="1"/>
      <c r="C172" s="1"/>
      <c r="D172" s="1"/>
      <c r="E172" s="524"/>
      <c r="G172" s="1"/>
      <c r="H172" s="1"/>
      <c r="I172" s="1"/>
      <c r="J172" s="524"/>
    </row>
    <row r="173" spans="2:13" ht="16.5" thickBot="1" x14ac:dyDescent="0.3">
      <c r="B173" s="1"/>
      <c r="C173" s="525" t="s">
        <v>667</v>
      </c>
      <c r="D173" s="526" t="s">
        <v>668</v>
      </c>
      <c r="E173" s="1"/>
      <c r="G173" s="527"/>
      <c r="H173" s="528" t="s">
        <v>760</v>
      </c>
      <c r="I173" s="529"/>
      <c r="J173" s="530"/>
      <c r="K173" s="528" t="s">
        <v>761</v>
      </c>
      <c r="L173" s="529"/>
      <c r="M173" s="530"/>
    </row>
    <row r="174" spans="2:13" ht="15.75" x14ac:dyDescent="0.2">
      <c r="B174" s="1"/>
      <c r="C174" s="74" t="s">
        <v>661</v>
      </c>
      <c r="D174" s="495">
        <f>H100</f>
        <v>47.829512923964543</v>
      </c>
      <c r="E174" s="1"/>
      <c r="G174" s="531"/>
      <c r="H174" s="532" t="s">
        <v>762</v>
      </c>
      <c r="I174" s="532" t="s">
        <v>763</v>
      </c>
      <c r="J174" s="532" t="s">
        <v>764</v>
      </c>
      <c r="K174" s="532" t="s">
        <v>765</v>
      </c>
      <c r="L174" s="532" t="s">
        <v>766</v>
      </c>
      <c r="M174" s="532" t="s">
        <v>767</v>
      </c>
    </row>
    <row r="175" spans="2:13" ht="16.5" thickBot="1" x14ac:dyDescent="0.25">
      <c r="C175" s="74" t="s">
        <v>669</v>
      </c>
      <c r="D175" s="435">
        <v>3650</v>
      </c>
      <c r="E175" s="1" t="s">
        <v>803</v>
      </c>
      <c r="G175" s="533" t="s">
        <v>768</v>
      </c>
      <c r="H175" s="534">
        <v>1000</v>
      </c>
      <c r="I175" s="534">
        <v>1000</v>
      </c>
      <c r="J175" s="534">
        <v>1000</v>
      </c>
      <c r="K175" s="534">
        <v>1000</v>
      </c>
      <c r="L175" s="534">
        <v>1000</v>
      </c>
      <c r="M175" s="534">
        <v>1000</v>
      </c>
    </row>
    <row r="176" spans="2:13" ht="16.5" thickBot="1" x14ac:dyDescent="0.25">
      <c r="C176" s="74" t="s">
        <v>670</v>
      </c>
      <c r="D176" s="409">
        <f>D175*D174</f>
        <v>174577.72217247059</v>
      </c>
      <c r="E176" s="1" t="s">
        <v>666</v>
      </c>
      <c r="G176" s="535" t="s">
        <v>769</v>
      </c>
      <c r="H176" s="536">
        <v>0.4</v>
      </c>
      <c r="I176" s="537">
        <v>0.3</v>
      </c>
      <c r="J176" s="538">
        <v>0.4</v>
      </c>
      <c r="K176" s="539">
        <v>0.3</v>
      </c>
      <c r="L176" s="538">
        <v>0.3</v>
      </c>
      <c r="M176" s="540">
        <v>0.3</v>
      </c>
    </row>
    <row r="177" spans="2:14" x14ac:dyDescent="0.2">
      <c r="B177" s="1"/>
      <c r="C177" s="541" t="s">
        <v>671</v>
      </c>
      <c r="D177" s="452">
        <v>0.3</v>
      </c>
      <c r="E177" s="1"/>
      <c r="G177" s="1"/>
      <c r="H177" s="1"/>
      <c r="I177" s="1"/>
      <c r="J177" s="1"/>
      <c r="K177" s="1"/>
      <c r="L177" s="1"/>
      <c r="M177" s="1"/>
    </row>
    <row r="178" spans="2:14" x14ac:dyDescent="0.2">
      <c r="B178" s="1"/>
      <c r="C178" s="541" t="s">
        <v>662</v>
      </c>
      <c r="D178" s="409">
        <f>D176*1/D177</f>
        <v>581925.74057490204</v>
      </c>
      <c r="E178" s="1" t="s">
        <v>666</v>
      </c>
      <c r="N178" s="1"/>
    </row>
    <row r="179" spans="2:14" x14ac:dyDescent="0.2">
      <c r="B179" s="1"/>
      <c r="C179" s="74" t="s">
        <v>672</v>
      </c>
      <c r="D179" s="409">
        <f>D8</f>
        <v>100</v>
      </c>
      <c r="E179" s="1" t="s">
        <v>1000</v>
      </c>
      <c r="N179" s="1"/>
    </row>
    <row r="180" spans="2:14" x14ac:dyDescent="0.2">
      <c r="B180" s="1"/>
      <c r="C180" s="74" t="s">
        <v>663</v>
      </c>
      <c r="D180" s="409">
        <f>D178/D179</f>
        <v>5819.2574057490201</v>
      </c>
      <c r="E180" s="1" t="s">
        <v>802</v>
      </c>
      <c r="N180" s="1"/>
    </row>
    <row r="181" spans="2:14" x14ac:dyDescent="0.2">
      <c r="B181" s="1"/>
      <c r="C181" s="74" t="s">
        <v>664</v>
      </c>
      <c r="D181" s="435">
        <v>1000</v>
      </c>
      <c r="E181" s="1" t="s">
        <v>802</v>
      </c>
      <c r="N181" s="1"/>
    </row>
    <row r="182" spans="2:14" x14ac:dyDescent="0.2">
      <c r="B182" s="1"/>
      <c r="C182" s="74" t="s">
        <v>665</v>
      </c>
      <c r="D182" s="409">
        <f>D181+D180</f>
        <v>6819.2574057490201</v>
      </c>
      <c r="E182" s="1" t="s">
        <v>802</v>
      </c>
      <c r="N182" s="1"/>
    </row>
    <row r="183" spans="2:14" x14ac:dyDescent="0.2">
      <c r="B183" s="1"/>
      <c r="C183" s="542"/>
      <c r="D183" s="543"/>
      <c r="E183" s="1"/>
      <c r="N183" s="1"/>
    </row>
    <row r="184" spans="2:14" x14ac:dyDescent="0.2">
      <c r="B184" s="1"/>
      <c r="C184" s="1"/>
      <c r="D184" s="1"/>
      <c r="E184" s="1"/>
      <c r="F184" s="1"/>
      <c r="G184" s="1"/>
      <c r="H184" s="1"/>
      <c r="I184" s="1"/>
      <c r="J184" s="1"/>
      <c r="K184" s="1"/>
      <c r="L184" s="1"/>
      <c r="M184" s="1"/>
      <c r="N184" s="1"/>
    </row>
    <row r="185" spans="2:14" x14ac:dyDescent="0.2">
      <c r="B185" s="1"/>
      <c r="C185" s="1"/>
      <c r="D185" s="1"/>
      <c r="E185" s="1"/>
      <c r="F185" s="1"/>
      <c r="G185" s="1"/>
      <c r="H185" s="1"/>
      <c r="I185" s="1"/>
      <c r="J185" s="1"/>
      <c r="K185" s="1"/>
      <c r="L185" s="1"/>
      <c r="M185" s="1"/>
      <c r="N185" s="1"/>
    </row>
    <row r="186" spans="2:14" x14ac:dyDescent="0.2">
      <c r="B186" s="1"/>
      <c r="C186" s="1"/>
      <c r="D186" s="1"/>
      <c r="E186" s="1"/>
      <c r="F186" s="1"/>
      <c r="G186" s="1"/>
      <c r="H186" s="1"/>
      <c r="I186" s="1"/>
      <c r="J186" s="1"/>
      <c r="K186" s="1"/>
      <c r="L186" s="1"/>
      <c r="M186" s="1"/>
      <c r="N186" s="1"/>
    </row>
    <row r="187" spans="2:14" x14ac:dyDescent="0.2">
      <c r="B187" s="1"/>
      <c r="C187" s="1"/>
      <c r="D187" s="1"/>
      <c r="E187" s="1"/>
      <c r="F187" s="1"/>
      <c r="G187" s="1"/>
      <c r="H187" s="1"/>
      <c r="I187" s="1"/>
      <c r="J187" s="1"/>
      <c r="K187" s="1"/>
      <c r="L187" s="1"/>
      <c r="M187" s="1"/>
      <c r="N187" s="1"/>
    </row>
    <row r="188" spans="2:14" x14ac:dyDescent="0.2">
      <c r="B188" s="1"/>
      <c r="C188" s="1"/>
      <c r="D188" s="1"/>
      <c r="E188" s="1"/>
      <c r="F188" s="1"/>
      <c r="G188" s="1"/>
      <c r="H188" s="1"/>
      <c r="I188" s="1"/>
      <c r="J188" s="1"/>
      <c r="K188" s="1"/>
      <c r="L188" s="1"/>
      <c r="M188" s="1"/>
      <c r="N188" s="1"/>
    </row>
    <row r="189" spans="2:14" x14ac:dyDescent="0.2">
      <c r="B189" s="1"/>
      <c r="C189" s="1"/>
      <c r="D189" s="1"/>
      <c r="E189" s="1"/>
      <c r="F189" s="1"/>
      <c r="G189" s="1"/>
      <c r="H189" s="1"/>
      <c r="I189" s="1"/>
      <c r="J189" s="1"/>
      <c r="K189" s="1"/>
      <c r="L189" s="1"/>
      <c r="M189" s="1"/>
      <c r="N189" s="1"/>
    </row>
    <row r="190" spans="2:14" x14ac:dyDescent="0.2">
      <c r="B190" s="1"/>
      <c r="C190" s="1"/>
      <c r="D190" s="1"/>
      <c r="E190" s="1"/>
      <c r="F190" s="1"/>
      <c r="G190" s="1"/>
      <c r="H190" s="1"/>
      <c r="I190" s="1"/>
      <c r="J190" s="1"/>
      <c r="K190" s="1"/>
      <c r="L190" s="1"/>
      <c r="M190" s="1"/>
      <c r="N190" s="1"/>
    </row>
    <row r="191" spans="2:14" x14ac:dyDescent="0.2">
      <c r="B191" s="1"/>
      <c r="C191" s="1"/>
      <c r="D191" s="1"/>
      <c r="E191" s="1"/>
      <c r="F191" s="1"/>
      <c r="G191" s="1"/>
      <c r="H191" s="1"/>
      <c r="I191" s="1"/>
      <c r="J191" s="1"/>
      <c r="K191" s="1"/>
      <c r="L191" s="1"/>
      <c r="M191" s="1"/>
      <c r="N191" s="1"/>
    </row>
    <row r="192" spans="2:14" x14ac:dyDescent="0.2">
      <c r="B192" s="1"/>
      <c r="C192" s="1"/>
      <c r="D192" s="1"/>
      <c r="E192" s="1"/>
      <c r="F192" s="1"/>
      <c r="G192" s="1"/>
      <c r="H192" s="1"/>
      <c r="I192" s="1"/>
      <c r="J192" s="1"/>
      <c r="K192" s="1"/>
    </row>
    <row r="193" spans="2:11" x14ac:dyDescent="0.2">
      <c r="B193" s="1"/>
      <c r="C193" s="1"/>
      <c r="D193" s="1"/>
      <c r="E193" s="1"/>
      <c r="F193" s="1"/>
      <c r="G193" s="1"/>
      <c r="H193" s="1"/>
      <c r="I193" s="1"/>
      <c r="J193" s="1"/>
      <c r="K193" s="1"/>
    </row>
    <row r="194" spans="2:11" x14ac:dyDescent="0.2">
      <c r="C194" s="1"/>
      <c r="D194" s="1"/>
      <c r="E194" s="1"/>
      <c r="F194" s="1"/>
      <c r="G194" s="1"/>
      <c r="H194" s="1"/>
      <c r="I194" s="1"/>
      <c r="J194" s="1"/>
      <c r="K194" s="1"/>
    </row>
    <row r="195" spans="2:11" x14ac:dyDescent="0.2">
      <c r="E195" s="1"/>
      <c r="F195" s="1"/>
      <c r="G195" s="1"/>
      <c r="H195" s="1"/>
      <c r="I195" s="1"/>
      <c r="J195" s="1"/>
      <c r="K195" s="1"/>
    </row>
    <row r="196" spans="2:11" x14ac:dyDescent="0.2">
      <c r="E196" s="1"/>
      <c r="F196" s="1"/>
      <c r="G196" s="1"/>
      <c r="H196" s="1"/>
      <c r="I196" s="1"/>
      <c r="J196" s="1"/>
      <c r="K196" s="1"/>
    </row>
    <row r="197" spans="2:11" x14ac:dyDescent="0.2">
      <c r="E197" s="1"/>
      <c r="F197" s="1"/>
      <c r="G197" s="1"/>
      <c r="H197" s="1"/>
      <c r="I197" s="1"/>
      <c r="J197" s="1"/>
      <c r="K197" s="1"/>
    </row>
    <row r="198" spans="2:11" x14ac:dyDescent="0.2">
      <c r="E198" s="1"/>
      <c r="F198" s="1"/>
      <c r="G198" s="1"/>
      <c r="H198" s="1"/>
      <c r="I198" s="1"/>
      <c r="J198" s="1"/>
      <c r="K198" s="1"/>
    </row>
    <row r="199" spans="2:11" x14ac:dyDescent="0.2">
      <c r="E199" s="1"/>
      <c r="F199" s="1"/>
      <c r="G199" s="1"/>
      <c r="H199" s="1"/>
      <c r="I199" s="1"/>
      <c r="J199" s="1"/>
      <c r="K199" s="1"/>
    </row>
    <row r="200" spans="2:11" x14ac:dyDescent="0.2">
      <c r="E200" s="1"/>
      <c r="F200" s="1"/>
      <c r="G200" s="1"/>
      <c r="H200" s="1"/>
      <c r="I200" s="1"/>
      <c r="J200" s="1"/>
      <c r="K200" s="1"/>
    </row>
    <row r="201" spans="2:11" x14ac:dyDescent="0.2">
      <c r="E201" s="1"/>
      <c r="F201" s="1"/>
      <c r="G201" s="1"/>
      <c r="H201" s="1"/>
      <c r="I201" s="1"/>
      <c r="J201" s="1"/>
      <c r="K201" s="1"/>
    </row>
    <row r="202" spans="2:11" x14ac:dyDescent="0.2">
      <c r="E202" s="1"/>
      <c r="F202" s="1"/>
      <c r="G202" s="1"/>
      <c r="H202" s="1"/>
      <c r="I202" s="1"/>
      <c r="J202" s="1"/>
      <c r="K202" s="1"/>
    </row>
    <row r="203" spans="2:11" x14ac:dyDescent="0.2">
      <c r="E203" s="1"/>
      <c r="F203" s="1"/>
      <c r="G203" s="1"/>
      <c r="H203" s="1"/>
      <c r="I203" s="1"/>
      <c r="J203" s="1"/>
      <c r="K203" s="1"/>
    </row>
    <row r="204" spans="2:11" x14ac:dyDescent="0.2">
      <c r="E204" s="1"/>
      <c r="F204" s="1"/>
      <c r="G204" s="1"/>
      <c r="H204" s="1"/>
      <c r="I204" s="1"/>
      <c r="J204" s="1"/>
      <c r="K204" s="1"/>
    </row>
    <row r="205" spans="2:11" x14ac:dyDescent="0.2">
      <c r="B205" s="1"/>
      <c r="C205" s="1"/>
      <c r="D205" s="1"/>
      <c r="E205" s="1"/>
      <c r="F205" s="1"/>
      <c r="G205" s="1"/>
      <c r="H205" s="1"/>
      <c r="I205" s="1"/>
      <c r="J205" s="1"/>
      <c r="K205" s="1"/>
    </row>
    <row r="206" spans="2:11" x14ac:dyDescent="0.2">
      <c r="B206" s="1"/>
      <c r="C206" s="1"/>
      <c r="D206" s="1"/>
      <c r="E206" s="1"/>
      <c r="F206" s="1"/>
      <c r="G206" s="1"/>
      <c r="H206" s="1"/>
      <c r="I206" s="1"/>
      <c r="J206" s="1"/>
      <c r="K206" s="1"/>
    </row>
    <row r="207" spans="2:11" x14ac:dyDescent="0.2">
      <c r="B207" s="1"/>
      <c r="C207" s="1"/>
      <c r="D207" s="1"/>
      <c r="E207" s="1"/>
      <c r="F207" s="1"/>
      <c r="G207" s="1"/>
      <c r="H207" s="1"/>
      <c r="I207" s="1"/>
      <c r="J207" s="1"/>
      <c r="K207" s="1"/>
    </row>
    <row r="208" spans="2:11" x14ac:dyDescent="0.2">
      <c r="B208" s="1"/>
      <c r="C208" s="1"/>
      <c r="D208" s="1"/>
      <c r="E208" s="1"/>
      <c r="F208" s="1"/>
      <c r="G208" s="1"/>
      <c r="H208" s="1"/>
      <c r="I208" s="1"/>
      <c r="J208" s="1"/>
      <c r="K208" s="1"/>
    </row>
    <row r="209" spans="2:11" x14ac:dyDescent="0.2">
      <c r="B209" s="1"/>
      <c r="C209" s="1"/>
      <c r="D209" s="1"/>
      <c r="E209" s="1"/>
      <c r="F209" s="1"/>
      <c r="G209" s="1"/>
      <c r="H209" s="1"/>
      <c r="I209" s="1"/>
      <c r="J209" s="1"/>
      <c r="K209" s="1"/>
    </row>
    <row r="210" spans="2:11" x14ac:dyDescent="0.2">
      <c r="B210" s="1"/>
      <c r="C210" s="1"/>
      <c r="D210" s="1"/>
      <c r="E210" s="1"/>
      <c r="F210" s="1"/>
      <c r="G210" s="1"/>
      <c r="H210" s="1"/>
      <c r="I210" s="1"/>
      <c r="J210" s="1"/>
      <c r="K210" s="1"/>
    </row>
    <row r="211" spans="2:11" x14ac:dyDescent="0.2">
      <c r="B211" s="1"/>
      <c r="C211" s="1"/>
      <c r="D211" s="1"/>
      <c r="E211" s="1"/>
      <c r="F211" s="1"/>
      <c r="G211" s="1"/>
      <c r="H211" s="1"/>
      <c r="I211" s="1"/>
      <c r="J211" s="1"/>
      <c r="K211" s="1"/>
    </row>
    <row r="212" spans="2:11" x14ac:dyDescent="0.2">
      <c r="B212" s="1"/>
      <c r="C212" s="1"/>
      <c r="D212" s="1"/>
      <c r="E212" s="1"/>
      <c r="F212" s="1"/>
      <c r="G212" s="1"/>
      <c r="H212" s="1"/>
      <c r="I212" s="1"/>
      <c r="J212" s="1"/>
      <c r="K212" s="1"/>
    </row>
    <row r="213" spans="2:11" x14ac:dyDescent="0.2">
      <c r="B213" s="1"/>
      <c r="C213" s="1"/>
      <c r="D213" s="1"/>
      <c r="E213" s="1"/>
      <c r="F213" s="1"/>
      <c r="G213" s="1"/>
      <c r="H213" s="1"/>
      <c r="I213" s="1"/>
      <c r="J213" s="1"/>
      <c r="K213" s="1"/>
    </row>
    <row r="214" spans="2:11" x14ac:dyDescent="0.2">
      <c r="B214" s="1"/>
      <c r="C214" s="1"/>
      <c r="D214" s="1"/>
      <c r="E214" s="1"/>
      <c r="F214" s="1"/>
      <c r="G214" s="1"/>
      <c r="H214" s="1"/>
      <c r="I214" s="1"/>
      <c r="J214" s="1"/>
      <c r="K214" s="1"/>
    </row>
    <row r="215" spans="2:11" x14ac:dyDescent="0.2">
      <c r="B215" s="1"/>
      <c r="C215" s="1"/>
      <c r="D215" s="1"/>
      <c r="E215" s="1"/>
      <c r="F215" s="1"/>
      <c r="G215" s="1"/>
      <c r="H215" s="1"/>
      <c r="I215" s="1"/>
      <c r="J215" s="1"/>
      <c r="K215" s="1"/>
    </row>
    <row r="216" spans="2:11" x14ac:dyDescent="0.2">
      <c r="B216" s="1"/>
      <c r="C216" s="1"/>
      <c r="D216" s="1"/>
      <c r="E216" s="1"/>
      <c r="F216" s="1"/>
      <c r="G216" s="1"/>
      <c r="H216" s="1"/>
      <c r="I216" s="1"/>
      <c r="J216" s="1"/>
      <c r="K216" s="1"/>
    </row>
    <row r="217" spans="2:11" x14ac:dyDescent="0.2">
      <c r="B217" s="1"/>
      <c r="C217" s="1"/>
      <c r="D217" s="1"/>
      <c r="E217" s="1"/>
      <c r="F217" s="1"/>
      <c r="G217" s="1"/>
      <c r="H217" s="1"/>
      <c r="I217" s="1"/>
      <c r="J217" s="1"/>
      <c r="K217" s="1"/>
    </row>
    <row r="218" spans="2:11" x14ac:dyDescent="0.2">
      <c r="B218" s="1"/>
      <c r="C218" s="1"/>
      <c r="D218" s="1"/>
      <c r="E218" s="1"/>
      <c r="F218" s="1"/>
      <c r="G218" s="1"/>
      <c r="H218" s="1"/>
      <c r="I218" s="1"/>
      <c r="J218" s="1"/>
      <c r="K218" s="1"/>
    </row>
    <row r="219" spans="2:11" x14ac:dyDescent="0.2">
      <c r="B219" s="1"/>
      <c r="C219" s="1"/>
      <c r="D219" s="1"/>
      <c r="E219" s="1"/>
      <c r="F219" s="1"/>
      <c r="G219" s="1"/>
      <c r="H219" s="1"/>
      <c r="I219" s="1"/>
      <c r="J219" s="1"/>
      <c r="K219" s="1"/>
    </row>
    <row r="220" spans="2:11" x14ac:dyDescent="0.2">
      <c r="B220" s="1"/>
      <c r="C220" s="1"/>
      <c r="D220" s="1"/>
      <c r="E220" s="1"/>
      <c r="F220" s="1"/>
      <c r="G220" s="1"/>
      <c r="H220" s="1"/>
      <c r="I220" s="1"/>
      <c r="J220" s="1"/>
      <c r="K220" s="1"/>
    </row>
    <row r="221" spans="2:11" x14ac:dyDescent="0.2">
      <c r="B221" s="1"/>
      <c r="C221" s="1"/>
      <c r="D221" s="1"/>
      <c r="E221" s="1"/>
      <c r="F221" s="1"/>
      <c r="G221" s="1"/>
      <c r="H221" s="1"/>
      <c r="I221" s="1"/>
      <c r="J221" s="1"/>
      <c r="K221" s="1"/>
    </row>
    <row r="222" spans="2:11" x14ac:dyDescent="0.2">
      <c r="B222" s="1"/>
      <c r="C222" s="1"/>
      <c r="D222" s="1"/>
      <c r="E222" s="1"/>
      <c r="F222" s="1"/>
      <c r="G222" s="1"/>
      <c r="H222" s="1"/>
      <c r="I222" s="1"/>
      <c r="J222" s="1"/>
      <c r="K222" s="1"/>
    </row>
    <row r="223" spans="2:11" x14ac:dyDescent="0.2">
      <c r="B223" s="1"/>
      <c r="C223" s="1"/>
      <c r="D223" s="1"/>
      <c r="E223" s="1"/>
      <c r="F223" s="1"/>
      <c r="G223" s="1"/>
      <c r="H223" s="1"/>
      <c r="I223" s="1"/>
      <c r="J223" s="1"/>
      <c r="K223" s="1"/>
    </row>
  </sheetData>
  <mergeCells count="13">
    <mergeCell ref="Q17:R17"/>
    <mergeCell ref="Q12:R12"/>
    <mergeCell ref="Q13:R13"/>
    <mergeCell ref="Q14:R14"/>
    <mergeCell ref="Q15:R15"/>
    <mergeCell ref="Q16:R16"/>
    <mergeCell ref="Q18:R18"/>
    <mergeCell ref="Q19:R19"/>
    <mergeCell ref="Q24:R24"/>
    <mergeCell ref="Q20:R20"/>
    <mergeCell ref="Q21:R21"/>
    <mergeCell ref="Q22:R22"/>
    <mergeCell ref="Q23:R23"/>
  </mergeCells>
  <phoneticPr fontId="15" type="noConversion"/>
  <pageMargins left="0.75" right="0.75" top="1" bottom="1" header="0.5" footer="0.5"/>
  <pageSetup paperSize="9" orientation="portrait"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2:AR223"/>
  <sheetViews>
    <sheetView showGridLines="0" zoomScale="55" workbookViewId="0"/>
  </sheetViews>
  <sheetFormatPr defaultColWidth="8.77734375" defaultRowHeight="15" x14ac:dyDescent="0.2"/>
  <cols>
    <col min="1" max="1" width="14.6640625" style="419" customWidth="1"/>
    <col min="2" max="2" width="15.6640625" style="419" customWidth="1"/>
    <col min="3" max="3" width="31" style="419" customWidth="1"/>
    <col min="4" max="4" width="25.44140625" style="419" bestFit="1" customWidth="1"/>
    <col min="5" max="5" width="27.77734375" style="419" customWidth="1"/>
    <col min="6" max="6" width="30" style="419" customWidth="1"/>
    <col min="7" max="7" width="26.44140625" style="419" customWidth="1"/>
    <col min="8" max="8" width="26.6640625" style="419" customWidth="1"/>
    <col min="9" max="9" width="20.88671875" style="419" bestFit="1" customWidth="1"/>
    <col min="10" max="10" width="23.77734375" style="419" customWidth="1"/>
    <col min="11" max="11" width="21.77734375" style="419" customWidth="1"/>
    <col min="12" max="12" width="21.21875" style="419" customWidth="1"/>
    <col min="13" max="13" width="20.88671875" style="419" customWidth="1"/>
    <col min="14" max="17" width="16.109375" style="419" customWidth="1"/>
    <col min="18" max="18" width="21" style="419" customWidth="1"/>
    <col min="19" max="19" width="16.88671875" style="419" customWidth="1"/>
    <col min="20" max="20" width="19.109375" style="419" customWidth="1"/>
    <col min="21" max="21" width="18.6640625" style="419" customWidth="1"/>
    <col min="22" max="22" width="13.5546875" style="419" customWidth="1"/>
    <col min="23" max="23" width="13" style="419" customWidth="1"/>
    <col min="24" max="24" width="12.109375" style="419" customWidth="1"/>
    <col min="25" max="25" width="40.109375" style="419" bestFit="1" customWidth="1"/>
    <col min="26" max="26" width="25.33203125" style="419" bestFit="1" customWidth="1"/>
    <col min="27" max="27" width="15.88671875" style="422" bestFit="1" customWidth="1"/>
    <col min="28" max="28" width="14" style="422" customWidth="1"/>
    <col min="29" max="29" width="23.33203125" style="422" bestFit="1" customWidth="1"/>
    <col min="30" max="30" width="17.77734375" style="422" customWidth="1"/>
    <col min="31" max="31" width="12.109375" style="422" bestFit="1" customWidth="1"/>
    <col min="32" max="32" width="12.33203125" style="422" customWidth="1"/>
    <col min="33" max="34" width="8.77734375" style="419"/>
    <col min="35" max="35" width="38.109375" style="419" bestFit="1" customWidth="1"/>
    <col min="36" max="36" width="21.44140625" style="419" bestFit="1" customWidth="1"/>
    <col min="37" max="37" width="32.109375" style="419" customWidth="1"/>
    <col min="38" max="38" width="30.88671875" style="419" bestFit="1" customWidth="1"/>
    <col min="39" max="39" width="19" style="419" bestFit="1" customWidth="1"/>
    <col min="40" max="40" width="8.77734375" style="419"/>
    <col min="41" max="41" width="17.6640625" style="419" customWidth="1"/>
    <col min="42" max="42" width="12.109375" style="419" bestFit="1" customWidth="1"/>
    <col min="43" max="43" width="18.44140625" style="419" bestFit="1" customWidth="1"/>
    <col min="44" max="16384" width="8.77734375" style="419"/>
  </cols>
  <sheetData>
    <row r="2" spans="1:28" ht="20.25" x14ac:dyDescent="0.3">
      <c r="B2" s="545" t="s">
        <v>246</v>
      </c>
    </row>
    <row r="3" spans="1:28" ht="15.75" x14ac:dyDescent="0.25">
      <c r="A3" s="446"/>
    </row>
    <row r="4" spans="1:28" ht="13.5" customHeight="1" x14ac:dyDescent="0.25">
      <c r="A4" s="446"/>
    </row>
    <row r="5" spans="1:28" ht="15.75" x14ac:dyDescent="0.25">
      <c r="B5" s="446" t="s">
        <v>800</v>
      </c>
      <c r="C5" s="416" t="str">
        <f>'Gross margin summary'!G15</f>
        <v>Lablab</v>
      </c>
      <c r="D5" s="417"/>
      <c r="E5" s="446"/>
    </row>
    <row r="7" spans="1:28" ht="18" customHeight="1" x14ac:dyDescent="0.2">
      <c r="A7" s="1"/>
      <c r="B7" s="1"/>
      <c r="C7" s="1"/>
      <c r="D7" s="1"/>
      <c r="E7" s="1"/>
      <c r="F7" s="1"/>
      <c r="G7" s="1"/>
      <c r="H7" s="1"/>
      <c r="I7" s="1"/>
      <c r="J7" s="1"/>
      <c r="K7" s="1"/>
      <c r="L7" s="1"/>
      <c r="M7" s="1"/>
      <c r="N7" s="1"/>
      <c r="O7" s="1"/>
      <c r="P7" s="1"/>
      <c r="Q7" s="1"/>
      <c r="R7" s="1"/>
      <c r="S7" s="1"/>
      <c r="T7" s="1"/>
      <c r="U7" s="1"/>
      <c r="V7" s="1"/>
      <c r="W7" s="1"/>
      <c r="X7" s="1"/>
      <c r="Y7" s="1"/>
      <c r="Z7" s="1"/>
      <c r="AA7" s="6"/>
    </row>
    <row r="8" spans="1:28" ht="18" customHeight="1" x14ac:dyDescent="0.2">
      <c r="A8" s="1"/>
      <c r="B8" s="1"/>
      <c r="C8" s="12" t="s">
        <v>689</v>
      </c>
      <c r="D8" s="546">
        <v>100</v>
      </c>
      <c r="E8" s="1" t="s">
        <v>1000</v>
      </c>
      <c r="L8" s="1"/>
      <c r="M8" s="1"/>
      <c r="O8" s="1"/>
      <c r="P8" s="1"/>
      <c r="Q8" s="1"/>
      <c r="R8" s="1"/>
      <c r="S8" s="1"/>
      <c r="T8" s="1"/>
      <c r="U8" s="1"/>
      <c r="V8" s="1"/>
      <c r="W8" s="1"/>
      <c r="X8" s="1"/>
      <c r="Y8" s="1"/>
      <c r="Z8" s="1"/>
      <c r="AA8" s="6"/>
    </row>
    <row r="9" spans="1:28" ht="18" customHeight="1" x14ac:dyDescent="0.2">
      <c r="A9" s="1"/>
      <c r="B9" s="1"/>
      <c r="C9" s="12" t="s">
        <v>373</v>
      </c>
      <c r="D9" s="546">
        <v>90</v>
      </c>
      <c r="E9" s="419" t="s">
        <v>1000</v>
      </c>
      <c r="F9" s="12"/>
      <c r="G9"/>
      <c r="H9"/>
      <c r="I9"/>
      <c r="J9"/>
      <c r="K9"/>
      <c r="L9" s="1"/>
      <c r="M9" s="1"/>
      <c r="O9" s="1"/>
      <c r="P9" s="1"/>
      <c r="Q9" s="443" t="s">
        <v>645</v>
      </c>
      <c r="R9" s="443"/>
      <c r="S9" s="443"/>
      <c r="T9" s="1"/>
      <c r="U9" s="1"/>
      <c r="V9" s="1"/>
      <c r="W9" s="1"/>
      <c r="X9" s="1"/>
      <c r="Y9" s="1"/>
      <c r="Z9" s="1"/>
      <c r="AA9" s="6"/>
    </row>
    <row r="10" spans="1:28" ht="18" customHeight="1" x14ac:dyDescent="0.2">
      <c r="A10" s="1"/>
      <c r="B10" s="1"/>
      <c r="C10" s="12" t="s">
        <v>690</v>
      </c>
      <c r="D10" s="421">
        <f>IF(D9&lt;=0,0,D9/D8)</f>
        <v>0.9</v>
      </c>
      <c r="F10" s="12"/>
      <c r="G10"/>
      <c r="H10"/>
      <c r="I10"/>
      <c r="J10"/>
      <c r="K10"/>
      <c r="L10" s="1"/>
      <c r="M10" s="1"/>
      <c r="O10" s="1"/>
      <c r="P10" s="1"/>
      <c r="Q10" s="1"/>
      <c r="R10" s="1"/>
      <c r="S10" s="1"/>
      <c r="T10" s="1"/>
      <c r="U10" s="1"/>
      <c r="V10" s="1"/>
      <c r="W10" s="1"/>
      <c r="X10" s="1"/>
      <c r="Y10" s="1"/>
      <c r="Z10" s="1"/>
      <c r="AA10" s="6"/>
    </row>
    <row r="11" spans="1:28" ht="18" customHeight="1" x14ac:dyDescent="0.25">
      <c r="A11" s="1"/>
      <c r="B11" s="1"/>
      <c r="C11" s="12"/>
      <c r="D11"/>
      <c r="E11" s="1"/>
      <c r="F11" s="12"/>
      <c r="G11"/>
      <c r="H11"/>
      <c r="I11"/>
      <c r="J11"/>
      <c r="K11"/>
      <c r="L11" s="1"/>
      <c r="M11" s="1"/>
      <c r="O11" s="1"/>
      <c r="P11" s="1"/>
      <c r="R11" s="544"/>
      <c r="S11" s="477" t="s">
        <v>698</v>
      </c>
      <c r="T11" s="477" t="s">
        <v>699</v>
      </c>
      <c r="U11" s="477" t="s">
        <v>700</v>
      </c>
      <c r="V11" s="477" t="s">
        <v>701</v>
      </c>
      <c r="W11" s="477" t="s">
        <v>702</v>
      </c>
      <c r="X11" s="477" t="s">
        <v>703</v>
      </c>
      <c r="Y11" s="1"/>
      <c r="Z11" s="424" t="s">
        <v>857</v>
      </c>
      <c r="AA11" s="425"/>
      <c r="AB11" s="6"/>
    </row>
    <row r="12" spans="1:28" ht="18" customHeight="1" x14ac:dyDescent="0.2">
      <c r="A12" s="1"/>
      <c r="B12" s="1"/>
      <c r="C12" s="1"/>
      <c r="D12" s="1"/>
      <c r="E12" s="1"/>
      <c r="F12" s="1"/>
      <c r="G12" s="1"/>
      <c r="H12" s="1"/>
      <c r="I12" s="1"/>
      <c r="J12" s="1"/>
      <c r="K12" s="1"/>
      <c r="L12" s="1"/>
      <c r="M12" s="423"/>
      <c r="N12" s="1"/>
      <c r="O12" s="1"/>
      <c r="P12" s="1"/>
      <c r="Q12" s="583" t="s">
        <v>646</v>
      </c>
      <c r="R12" s="584"/>
      <c r="S12" s="429">
        <f>F16</f>
        <v>524</v>
      </c>
      <c r="T12" s="429">
        <f>F17</f>
        <v>0</v>
      </c>
      <c r="U12" s="429">
        <f>F18</f>
        <v>0</v>
      </c>
      <c r="V12" s="429">
        <f>F19</f>
        <v>0</v>
      </c>
      <c r="W12" s="429">
        <f>F20</f>
        <v>0</v>
      </c>
      <c r="X12" s="429">
        <f>F21</f>
        <v>0</v>
      </c>
      <c r="Z12" s="427" t="s">
        <v>858</v>
      </c>
      <c r="AA12" s="427"/>
      <c r="AB12" s="6"/>
    </row>
    <row r="13" spans="1:28" ht="18" customHeight="1" x14ac:dyDescent="0.25">
      <c r="A13" s="1"/>
      <c r="B13" s="5" t="s">
        <v>691</v>
      </c>
      <c r="C13" s="1"/>
      <c r="D13" s="426" t="s">
        <v>376</v>
      </c>
      <c r="E13" s="426"/>
      <c r="F13" s="426"/>
      <c r="G13" s="426"/>
      <c r="H13" s="1"/>
      <c r="I13" s="1"/>
      <c r="J13" s="1"/>
      <c r="K13" s="1"/>
      <c r="L13" s="1"/>
      <c r="M13" s="1"/>
      <c r="N13" s="1"/>
      <c r="O13" s="1"/>
      <c r="P13" s="1"/>
      <c r="Q13" s="583" t="s">
        <v>647</v>
      </c>
      <c r="R13" s="584"/>
      <c r="S13" s="478">
        <v>0</v>
      </c>
      <c r="T13" s="478">
        <v>0</v>
      </c>
      <c r="U13" s="478">
        <v>0</v>
      </c>
      <c r="V13" s="478">
        <v>0</v>
      </c>
      <c r="W13" s="478">
        <v>0</v>
      </c>
      <c r="X13" s="478">
        <v>0</v>
      </c>
      <c r="Z13" s="428" t="s">
        <v>859</v>
      </c>
      <c r="AA13" s="419"/>
      <c r="AB13" s="6"/>
    </row>
    <row r="14" spans="1:28" ht="18" customHeight="1" x14ac:dyDescent="0.25">
      <c r="A14" s="1"/>
      <c r="B14" s="1"/>
      <c r="C14" s="1"/>
      <c r="D14" s="1"/>
      <c r="E14" s="1"/>
      <c r="F14" s="1"/>
      <c r="G14" s="1"/>
      <c r="H14" s="1"/>
      <c r="I14" s="1"/>
      <c r="J14" s="1"/>
      <c r="K14" s="1"/>
      <c r="L14" s="1"/>
      <c r="M14" s="1"/>
      <c r="N14" s="1"/>
      <c r="O14" s="1"/>
      <c r="P14" s="1"/>
      <c r="Q14" s="583" t="s">
        <v>648</v>
      </c>
      <c r="R14" s="584"/>
      <c r="S14" s="409">
        <f t="shared" ref="S14:X14" si="0">S12*(1-S13)</f>
        <v>524</v>
      </c>
      <c r="T14" s="409">
        <f t="shared" si="0"/>
        <v>0</v>
      </c>
      <c r="U14" s="409">
        <f t="shared" si="0"/>
        <v>0</v>
      </c>
      <c r="V14" s="409">
        <f t="shared" si="0"/>
        <v>0</v>
      </c>
      <c r="W14" s="409">
        <f t="shared" si="0"/>
        <v>0</v>
      </c>
      <c r="X14" s="409">
        <f t="shared" si="0"/>
        <v>0</v>
      </c>
      <c r="Z14" s="430" t="s">
        <v>492</v>
      </c>
      <c r="AA14" s="430" t="s">
        <v>493</v>
      </c>
      <c r="AB14" s="6"/>
    </row>
    <row r="15" spans="1:28" ht="30.75" x14ac:dyDescent="0.25">
      <c r="A15" s="1"/>
      <c r="B15" s="1"/>
      <c r="C15" s="407" t="s">
        <v>377</v>
      </c>
      <c r="D15" s="407" t="s">
        <v>692</v>
      </c>
      <c r="E15" s="407" t="s">
        <v>391</v>
      </c>
      <c r="F15" s="407" t="s">
        <v>693</v>
      </c>
      <c r="G15" s="407" t="s">
        <v>694</v>
      </c>
      <c r="H15" s="407" t="s">
        <v>695</v>
      </c>
      <c r="I15" s="407" t="s">
        <v>559</v>
      </c>
      <c r="J15" s="407" t="s">
        <v>560</v>
      </c>
      <c r="K15" s="407" t="s">
        <v>696</v>
      </c>
      <c r="L15" s="407" t="s">
        <v>697</v>
      </c>
      <c r="M15"/>
      <c r="N15"/>
      <c r="Q15" s="583" t="s">
        <v>682</v>
      </c>
      <c r="R15" s="584"/>
      <c r="S15" s="445"/>
      <c r="T15" s="445"/>
      <c r="U15" s="445"/>
      <c r="V15" s="445"/>
      <c r="W15" s="445"/>
      <c r="X15" s="445"/>
      <c r="Z15" s="434" t="s">
        <v>494</v>
      </c>
      <c r="AA15" s="434" t="s">
        <v>495</v>
      </c>
      <c r="AB15" s="6"/>
    </row>
    <row r="16" spans="1:28" ht="18" customHeight="1" x14ac:dyDescent="0.25">
      <c r="A16" s="1"/>
      <c r="B16" s="1" t="s">
        <v>698</v>
      </c>
      <c r="C16" s="431">
        <v>41671</v>
      </c>
      <c r="D16" s="558">
        <v>195.2</v>
      </c>
      <c r="E16" s="480">
        <v>1.6</v>
      </c>
      <c r="F16" s="203">
        <v>524</v>
      </c>
      <c r="G16" s="433">
        <f t="shared" ref="G16:G21" si="1">F16*E16</f>
        <v>838.40000000000009</v>
      </c>
      <c r="H16" s="411">
        <f t="shared" ref="H16:H21" si="2">G16*D16</f>
        <v>163655.68000000002</v>
      </c>
      <c r="I16" s="413">
        <f t="shared" ref="I16:I21" si="3">D16/$D$8</f>
        <v>1.952</v>
      </c>
      <c r="J16" s="413">
        <f t="shared" ref="J16:J21" si="4">IF(D16&lt;=0,0,$D$8/D16)</f>
        <v>0.51229508196721318</v>
      </c>
      <c r="K16" s="413">
        <f t="shared" ref="K16:K21" si="5">D16/$D$9</f>
        <v>2.1688888888888886</v>
      </c>
      <c r="L16" s="413">
        <f t="shared" ref="L16:L21" si="6">IF(D16&lt;=0,0,$D$9/D16)</f>
        <v>0.46106557377049184</v>
      </c>
      <c r="M16"/>
      <c r="N16"/>
      <c r="Q16" s="583" t="s">
        <v>683</v>
      </c>
      <c r="R16" s="584"/>
      <c r="S16" s="433">
        <f t="shared" ref="S16:X16" si="7">S15*S14</f>
        <v>0</v>
      </c>
      <c r="T16" s="433">
        <f t="shared" si="7"/>
        <v>0</v>
      </c>
      <c r="U16" s="433">
        <f t="shared" si="7"/>
        <v>0</v>
      </c>
      <c r="V16" s="433">
        <f t="shared" si="7"/>
        <v>0</v>
      </c>
      <c r="W16" s="433">
        <f t="shared" si="7"/>
        <v>0</v>
      </c>
      <c r="X16" s="433">
        <f t="shared" si="7"/>
        <v>0</v>
      </c>
      <c r="Z16" s="437">
        <v>250</v>
      </c>
      <c r="AA16" s="437">
        <v>38</v>
      </c>
      <c r="AB16" s="6"/>
    </row>
    <row r="17" spans="1:28" ht="18" customHeight="1" x14ac:dyDescent="0.2">
      <c r="A17" s="1"/>
      <c r="B17" s="1" t="s">
        <v>699</v>
      </c>
      <c r="C17" s="431"/>
      <c r="D17" s="435"/>
      <c r="E17" s="436"/>
      <c r="F17" s="432"/>
      <c r="G17" s="433">
        <f t="shared" si="1"/>
        <v>0</v>
      </c>
      <c r="H17" s="411">
        <f t="shared" si="2"/>
        <v>0</v>
      </c>
      <c r="I17" s="413">
        <f t="shared" si="3"/>
        <v>0</v>
      </c>
      <c r="J17" s="413">
        <f t="shared" si="4"/>
        <v>0</v>
      </c>
      <c r="K17" s="413">
        <f t="shared" si="5"/>
        <v>0</v>
      </c>
      <c r="L17" s="413">
        <f t="shared" si="6"/>
        <v>0</v>
      </c>
      <c r="M17"/>
      <c r="N17"/>
      <c r="Q17" s="583" t="s">
        <v>651</v>
      </c>
      <c r="R17" s="584"/>
      <c r="S17" s="478">
        <v>3.5000000000000003E-2</v>
      </c>
      <c r="T17" s="478"/>
      <c r="U17" s="478"/>
      <c r="V17" s="478"/>
      <c r="W17" s="478"/>
      <c r="X17" s="478"/>
      <c r="Z17" s="438">
        <v>300</v>
      </c>
      <c r="AA17" s="438">
        <v>34</v>
      </c>
      <c r="AB17" s="6"/>
    </row>
    <row r="18" spans="1:28" ht="18" customHeight="1" x14ac:dyDescent="0.2">
      <c r="A18" s="1"/>
      <c r="B18" s="1" t="s">
        <v>700</v>
      </c>
      <c r="C18" s="431"/>
      <c r="D18" s="435"/>
      <c r="E18" s="436"/>
      <c r="F18" s="432"/>
      <c r="G18" s="433">
        <f t="shared" si="1"/>
        <v>0</v>
      </c>
      <c r="H18" s="411">
        <f t="shared" si="2"/>
        <v>0</v>
      </c>
      <c r="I18" s="413">
        <f t="shared" si="3"/>
        <v>0</v>
      </c>
      <c r="J18" s="413">
        <f t="shared" si="4"/>
        <v>0</v>
      </c>
      <c r="K18" s="413">
        <f t="shared" si="5"/>
        <v>0</v>
      </c>
      <c r="L18" s="413">
        <f t="shared" si="6"/>
        <v>0</v>
      </c>
      <c r="Q18" s="583" t="s">
        <v>684</v>
      </c>
      <c r="R18" s="584"/>
      <c r="S18" s="433">
        <f t="shared" ref="S18:X18" si="8">S17*S16</f>
        <v>0</v>
      </c>
      <c r="T18" s="433">
        <f t="shared" si="8"/>
        <v>0</v>
      </c>
      <c r="U18" s="433">
        <f t="shared" si="8"/>
        <v>0</v>
      </c>
      <c r="V18" s="433">
        <f t="shared" si="8"/>
        <v>0</v>
      </c>
      <c r="W18" s="433">
        <f t="shared" si="8"/>
        <v>0</v>
      </c>
      <c r="X18" s="433">
        <f t="shared" si="8"/>
        <v>0</v>
      </c>
      <c r="Z18" s="438">
        <v>350</v>
      </c>
      <c r="AA18" s="438">
        <v>30</v>
      </c>
      <c r="AB18" s="6"/>
    </row>
    <row r="19" spans="1:28" ht="18" customHeight="1" x14ac:dyDescent="0.2">
      <c r="A19" s="1"/>
      <c r="B19" s="1" t="s">
        <v>701</v>
      </c>
      <c r="C19" s="431"/>
      <c r="D19" s="435"/>
      <c r="E19" s="436"/>
      <c r="F19" s="432"/>
      <c r="G19" s="433">
        <f t="shared" si="1"/>
        <v>0</v>
      </c>
      <c r="H19" s="411">
        <f t="shared" si="2"/>
        <v>0</v>
      </c>
      <c r="I19" s="413">
        <f t="shared" si="3"/>
        <v>0</v>
      </c>
      <c r="J19" s="413">
        <f t="shared" si="4"/>
        <v>0</v>
      </c>
      <c r="K19" s="413">
        <f t="shared" si="5"/>
        <v>0</v>
      </c>
      <c r="L19" s="413">
        <f t="shared" si="6"/>
        <v>0</v>
      </c>
      <c r="Q19" s="583" t="s">
        <v>653</v>
      </c>
      <c r="R19" s="584"/>
      <c r="S19" s="445"/>
      <c r="T19" s="445"/>
      <c r="U19" s="445"/>
      <c r="V19" s="445"/>
      <c r="W19" s="445"/>
      <c r="X19" s="445"/>
      <c r="Z19" s="438">
        <v>400</v>
      </c>
      <c r="AA19" s="438">
        <v>28</v>
      </c>
      <c r="AB19" s="6"/>
    </row>
    <row r="20" spans="1:28" ht="18" customHeight="1" x14ac:dyDescent="0.2">
      <c r="A20" s="1"/>
      <c r="B20" s="1" t="s">
        <v>702</v>
      </c>
      <c r="C20" s="431"/>
      <c r="D20" s="435"/>
      <c r="E20" s="436"/>
      <c r="F20" s="432"/>
      <c r="G20" s="433">
        <f t="shared" si="1"/>
        <v>0</v>
      </c>
      <c r="H20" s="411">
        <f t="shared" si="2"/>
        <v>0</v>
      </c>
      <c r="I20" s="413">
        <f t="shared" si="3"/>
        <v>0</v>
      </c>
      <c r="J20" s="413">
        <f t="shared" si="4"/>
        <v>0</v>
      </c>
      <c r="K20" s="413">
        <f t="shared" si="5"/>
        <v>0</v>
      </c>
      <c r="L20" s="413">
        <f t="shared" si="6"/>
        <v>0</v>
      </c>
      <c r="Q20" s="583" t="s">
        <v>685</v>
      </c>
      <c r="R20" s="584"/>
      <c r="S20" s="445"/>
      <c r="T20" s="445"/>
      <c r="U20" s="445"/>
      <c r="V20" s="445"/>
      <c r="W20" s="445"/>
      <c r="X20" s="445"/>
      <c r="Z20" s="438">
        <v>450</v>
      </c>
      <c r="AA20" s="438">
        <v>26</v>
      </c>
      <c r="AB20" s="6"/>
    </row>
    <row r="21" spans="1:28" ht="18" customHeight="1" x14ac:dyDescent="0.2">
      <c r="A21" s="1"/>
      <c r="B21" s="1" t="s">
        <v>703</v>
      </c>
      <c r="C21" s="431"/>
      <c r="D21" s="435"/>
      <c r="E21" s="436"/>
      <c r="F21" s="432"/>
      <c r="G21" s="433">
        <f t="shared" si="1"/>
        <v>0</v>
      </c>
      <c r="H21" s="411">
        <f t="shared" si="2"/>
        <v>0</v>
      </c>
      <c r="I21" s="413">
        <f t="shared" si="3"/>
        <v>0</v>
      </c>
      <c r="J21" s="413">
        <f t="shared" si="4"/>
        <v>0</v>
      </c>
      <c r="K21" s="413">
        <f t="shared" si="5"/>
        <v>0</v>
      </c>
      <c r="L21" s="413">
        <f t="shared" si="6"/>
        <v>0</v>
      </c>
      <c r="Q21" s="583" t="s">
        <v>655</v>
      </c>
      <c r="R21" s="584"/>
      <c r="S21" s="433">
        <f t="shared" ref="S21:X21" si="9">S16-S18-S19-S20</f>
        <v>0</v>
      </c>
      <c r="T21" s="433">
        <f t="shared" si="9"/>
        <v>0</v>
      </c>
      <c r="U21" s="433">
        <f t="shared" si="9"/>
        <v>0</v>
      </c>
      <c r="V21" s="433">
        <f t="shared" si="9"/>
        <v>0</v>
      </c>
      <c r="W21" s="433">
        <f t="shared" si="9"/>
        <v>0</v>
      </c>
      <c r="X21" s="433">
        <f t="shared" si="9"/>
        <v>0</v>
      </c>
      <c r="Z21" s="438">
        <v>500</v>
      </c>
      <c r="AA21" s="438">
        <v>24</v>
      </c>
      <c r="AB21" s="6"/>
    </row>
    <row r="22" spans="1:28" ht="18" customHeight="1" thickBot="1" x14ac:dyDescent="0.25">
      <c r="A22" s="1"/>
      <c r="B22" s="1"/>
      <c r="C22" s="1"/>
      <c r="D22" s="1"/>
      <c r="E22" s="1"/>
      <c r="F22" s="439">
        <f>SUMPRODUCT(D16:D21,F16:F21)</f>
        <v>102284.79999999999</v>
      </c>
      <c r="G22" s="1"/>
      <c r="H22" s="440">
        <f>SUM(H16:H21)</f>
        <v>163655.68000000002</v>
      </c>
      <c r="I22" s="1"/>
      <c r="J22" s="1"/>
      <c r="K22" s="1"/>
      <c r="L22" s="1"/>
      <c r="Q22" s="583" t="s">
        <v>656</v>
      </c>
      <c r="R22" s="584"/>
      <c r="S22" s="409">
        <f t="shared" ref="S22:X22" si="10">S12</f>
        <v>524</v>
      </c>
      <c r="T22" s="409">
        <f t="shared" si="10"/>
        <v>0</v>
      </c>
      <c r="U22" s="409">
        <f t="shared" si="10"/>
        <v>0</v>
      </c>
      <c r="V22" s="409">
        <f t="shared" si="10"/>
        <v>0</v>
      </c>
      <c r="W22" s="409">
        <f t="shared" si="10"/>
        <v>0</v>
      </c>
      <c r="X22" s="409">
        <f t="shared" si="10"/>
        <v>0</v>
      </c>
      <c r="Z22" s="438">
        <v>550</v>
      </c>
      <c r="AA22" s="438">
        <v>22</v>
      </c>
      <c r="AB22" s="6"/>
    </row>
    <row r="23" spans="1:28" ht="18" customHeight="1" thickTop="1" x14ac:dyDescent="0.2">
      <c r="A23" s="1"/>
      <c r="B23" s="1"/>
      <c r="C23" s="1"/>
      <c r="D23" s="1"/>
      <c r="E23" s="1"/>
      <c r="F23" s="1"/>
      <c r="G23" s="1"/>
      <c r="H23" s="1"/>
      <c r="I23" s="1"/>
      <c r="J23" s="1"/>
      <c r="K23" s="1"/>
      <c r="L23" s="1"/>
      <c r="M23" s="1"/>
      <c r="N23" s="1"/>
      <c r="O23" s="1"/>
      <c r="P23" s="1"/>
      <c r="Q23" s="583" t="s">
        <v>686</v>
      </c>
      <c r="R23" s="584"/>
      <c r="S23" s="433">
        <f t="shared" ref="S23:X23" si="11">IF(S14&gt;0,(S18+S19+S20)/S14,0)</f>
        <v>0</v>
      </c>
      <c r="T23" s="433">
        <f t="shared" si="11"/>
        <v>0</v>
      </c>
      <c r="U23" s="433">
        <f t="shared" si="11"/>
        <v>0</v>
      </c>
      <c r="V23" s="433">
        <f t="shared" si="11"/>
        <v>0</v>
      </c>
      <c r="W23" s="433">
        <f t="shared" si="11"/>
        <v>0</v>
      </c>
      <c r="X23" s="433">
        <f t="shared" si="11"/>
        <v>0</v>
      </c>
      <c r="Z23" s="438">
        <v>600</v>
      </c>
      <c r="AA23" s="438">
        <v>20</v>
      </c>
      <c r="AB23" s="6"/>
    </row>
    <row r="24" spans="1:28" ht="18" customHeight="1" x14ac:dyDescent="0.2">
      <c r="A24" s="1"/>
      <c r="C24" s="1"/>
      <c r="D24" s="1"/>
      <c r="E24" s="1"/>
      <c r="F24" s="1"/>
      <c r="G24" s="1"/>
      <c r="H24" s="1"/>
      <c r="I24" s="1"/>
      <c r="J24" s="1"/>
      <c r="K24" s="1"/>
      <c r="L24" s="1"/>
      <c r="M24" s="1"/>
      <c r="N24" s="1"/>
      <c r="O24" s="1"/>
      <c r="P24" s="1"/>
      <c r="Q24" s="583" t="s">
        <v>687</v>
      </c>
      <c r="R24" s="584"/>
      <c r="S24" s="433">
        <f t="shared" ref="S24:X24" si="12">IF(S22&gt;0,S21/S22,0)</f>
        <v>0</v>
      </c>
      <c r="T24" s="433">
        <f t="shared" si="12"/>
        <v>0</v>
      </c>
      <c r="U24" s="433">
        <f t="shared" si="12"/>
        <v>0</v>
      </c>
      <c r="V24" s="433">
        <f t="shared" si="12"/>
        <v>0</v>
      </c>
      <c r="W24" s="433">
        <f t="shared" si="12"/>
        <v>0</v>
      </c>
      <c r="X24" s="433">
        <f t="shared" si="12"/>
        <v>0</v>
      </c>
      <c r="Z24" s="438">
        <v>650</v>
      </c>
      <c r="AA24" s="438">
        <v>18</v>
      </c>
      <c r="AB24" s="6"/>
    </row>
    <row r="25" spans="1:28" customFormat="1" ht="18" customHeight="1" x14ac:dyDescent="0.2"/>
    <row r="26" spans="1:28" customFormat="1" ht="18" customHeight="1" x14ac:dyDescent="0.25">
      <c r="B26" s="5" t="s">
        <v>390</v>
      </c>
      <c r="C26" s="419"/>
      <c r="D26" s="193"/>
      <c r="E26" s="193"/>
      <c r="F26" s="193"/>
      <c r="G26" s="193"/>
      <c r="H26" s="193"/>
      <c r="I26" s="193"/>
      <c r="J26" s="419"/>
      <c r="K26" s="419"/>
      <c r="L26" s="245"/>
    </row>
    <row r="27" spans="1:28" customFormat="1" ht="18" customHeight="1" x14ac:dyDescent="0.25">
      <c r="B27" s="446"/>
      <c r="C27" s="255"/>
      <c r="D27" s="193"/>
      <c r="E27" s="193"/>
      <c r="F27" s="193"/>
      <c r="G27" s="193"/>
      <c r="H27" s="193"/>
      <c r="I27" s="193"/>
      <c r="J27" s="193"/>
      <c r="K27" s="419"/>
      <c r="L27" s="245"/>
    </row>
    <row r="28" spans="1:28" customFormat="1" ht="30.75" x14ac:dyDescent="0.25">
      <c r="C28" s="407" t="s">
        <v>866</v>
      </c>
      <c r="D28" s="407" t="s">
        <v>867</v>
      </c>
      <c r="E28" s="407" t="s">
        <v>384</v>
      </c>
      <c r="F28" s="408" t="s">
        <v>716</v>
      </c>
      <c r="G28" s="408" t="s">
        <v>385</v>
      </c>
      <c r="H28" s="408" t="s">
        <v>386</v>
      </c>
      <c r="I28" s="407" t="s">
        <v>387</v>
      </c>
      <c r="J28" s="407" t="s">
        <v>389</v>
      </c>
      <c r="K28" s="407" t="s">
        <v>688</v>
      </c>
      <c r="L28" s="407" t="s">
        <v>388</v>
      </c>
      <c r="Z28" s="446" t="s">
        <v>375</v>
      </c>
      <c r="AA28" s="419"/>
    </row>
    <row r="29" spans="1:28" customFormat="1" ht="18" customHeight="1" x14ac:dyDescent="0.2">
      <c r="B29" s="1" t="s">
        <v>698</v>
      </c>
      <c r="C29" s="409">
        <f t="shared" ref="C29:C34" si="13">D16</f>
        <v>195.2</v>
      </c>
      <c r="D29" s="409">
        <f t="shared" ref="D29:D34" si="14">F16</f>
        <v>524</v>
      </c>
      <c r="E29" s="450">
        <v>189.5</v>
      </c>
      <c r="F29" s="451">
        <v>1.9</v>
      </c>
      <c r="G29" s="450">
        <v>22</v>
      </c>
      <c r="H29" s="411">
        <f t="shared" ref="H29:H34" si="15">IF(C29&gt;0,C29*E29*F29/G29,0)</f>
        <v>3194.6254545454544</v>
      </c>
      <c r="I29" s="433">
        <f t="shared" ref="I29:I34" si="16">IF(C29&gt;0,H29/C29,0)</f>
        <v>16.365909090909092</v>
      </c>
      <c r="J29" s="549">
        <v>0</v>
      </c>
      <c r="K29" s="549">
        <v>0</v>
      </c>
      <c r="L29" s="433">
        <f t="shared" ref="L29:L34" si="17">K29*C29</f>
        <v>0</v>
      </c>
      <c r="Z29" s="419"/>
      <c r="AA29" s="419"/>
    </row>
    <row r="30" spans="1:28" customFormat="1" ht="18" customHeight="1" x14ac:dyDescent="0.25">
      <c r="B30" s="1" t="s">
        <v>699</v>
      </c>
      <c r="C30" s="409">
        <f t="shared" si="13"/>
        <v>0</v>
      </c>
      <c r="D30" s="409">
        <f t="shared" si="14"/>
        <v>0</v>
      </c>
      <c r="E30" s="450"/>
      <c r="F30" s="451"/>
      <c r="G30" s="450"/>
      <c r="H30" s="411">
        <f t="shared" si="15"/>
        <v>0</v>
      </c>
      <c r="I30" s="433">
        <f t="shared" si="16"/>
        <v>0</v>
      </c>
      <c r="J30" s="549">
        <v>0</v>
      </c>
      <c r="K30" s="549">
        <v>0</v>
      </c>
      <c r="L30" s="433">
        <f t="shared" si="17"/>
        <v>0</v>
      </c>
      <c r="Z30" s="362" t="s">
        <v>374</v>
      </c>
      <c r="AA30" s="548">
        <f>D16</f>
        <v>195.2</v>
      </c>
    </row>
    <row r="31" spans="1:28" customFormat="1" ht="18" customHeight="1" x14ac:dyDescent="0.25">
      <c r="B31" s="1" t="s">
        <v>700</v>
      </c>
      <c r="C31" s="409">
        <f t="shared" si="13"/>
        <v>0</v>
      </c>
      <c r="D31" s="409">
        <f t="shared" si="14"/>
        <v>0</v>
      </c>
      <c r="E31" s="450"/>
      <c r="F31" s="451"/>
      <c r="G31" s="450"/>
      <c r="H31" s="411">
        <f t="shared" si="15"/>
        <v>0</v>
      </c>
      <c r="I31" s="433">
        <f t="shared" si="16"/>
        <v>0</v>
      </c>
      <c r="J31" s="549">
        <v>0</v>
      </c>
      <c r="K31" s="549">
        <v>0</v>
      </c>
      <c r="L31" s="433">
        <f t="shared" si="17"/>
        <v>0</v>
      </c>
      <c r="Z31" s="362" t="s">
        <v>868</v>
      </c>
      <c r="AA31" s="256">
        <v>200</v>
      </c>
    </row>
    <row r="32" spans="1:28" customFormat="1" ht="18" customHeight="1" x14ac:dyDescent="0.25">
      <c r="B32" s="1" t="s">
        <v>701</v>
      </c>
      <c r="C32" s="409">
        <f t="shared" si="13"/>
        <v>0</v>
      </c>
      <c r="D32" s="409">
        <f t="shared" si="14"/>
        <v>0</v>
      </c>
      <c r="E32" s="450"/>
      <c r="F32" s="451"/>
      <c r="G32" s="450"/>
      <c r="H32" s="411">
        <f t="shared" si="15"/>
        <v>0</v>
      </c>
      <c r="I32" s="433">
        <f t="shared" si="16"/>
        <v>0</v>
      </c>
      <c r="J32" s="549">
        <v>0</v>
      </c>
      <c r="K32" s="549">
        <v>0</v>
      </c>
      <c r="L32" s="433">
        <f t="shared" si="17"/>
        <v>0</v>
      </c>
      <c r="Z32" s="362" t="s">
        <v>869</v>
      </c>
      <c r="AA32" s="257">
        <v>2</v>
      </c>
    </row>
    <row r="33" spans="1:38" customFormat="1" ht="18" customHeight="1" x14ac:dyDescent="0.25">
      <c r="B33" s="1" t="s">
        <v>702</v>
      </c>
      <c r="C33" s="409">
        <f t="shared" si="13"/>
        <v>0</v>
      </c>
      <c r="D33" s="409">
        <f t="shared" si="14"/>
        <v>0</v>
      </c>
      <c r="E33" s="450"/>
      <c r="F33" s="451"/>
      <c r="G33" s="450"/>
      <c r="H33" s="411">
        <f t="shared" si="15"/>
        <v>0</v>
      </c>
      <c r="I33" s="433">
        <f t="shared" si="16"/>
        <v>0</v>
      </c>
      <c r="J33" s="549">
        <v>0</v>
      </c>
      <c r="K33" s="549">
        <v>0</v>
      </c>
      <c r="L33" s="433">
        <f t="shared" si="17"/>
        <v>0</v>
      </c>
      <c r="Z33" s="362" t="s">
        <v>870</v>
      </c>
      <c r="AA33" s="256">
        <v>28</v>
      </c>
    </row>
    <row r="34" spans="1:38" customFormat="1" ht="18" customHeight="1" x14ac:dyDescent="0.25">
      <c r="B34" s="1" t="s">
        <v>703</v>
      </c>
      <c r="C34" s="409">
        <f t="shared" si="13"/>
        <v>0</v>
      </c>
      <c r="D34" s="409">
        <f t="shared" si="14"/>
        <v>0</v>
      </c>
      <c r="E34" s="450"/>
      <c r="F34" s="451"/>
      <c r="G34" s="450"/>
      <c r="H34" s="411">
        <f t="shared" si="15"/>
        <v>0</v>
      </c>
      <c r="I34" s="433">
        <f t="shared" si="16"/>
        <v>0</v>
      </c>
      <c r="J34" s="549">
        <v>0</v>
      </c>
      <c r="K34" s="549">
        <v>0</v>
      </c>
      <c r="L34" s="433">
        <f t="shared" si="17"/>
        <v>0</v>
      </c>
      <c r="Z34" s="362" t="s">
        <v>993</v>
      </c>
      <c r="AA34" s="411">
        <f>IF(AA30&gt;0,AA30*AA31*AA32/AA33,0)</f>
        <v>2788.5714285714284</v>
      </c>
    </row>
    <row r="35" spans="1:38" customFormat="1" ht="18" customHeight="1" thickBot="1" x14ac:dyDescent="0.3">
      <c r="B35" s="419"/>
      <c r="C35" s="419"/>
      <c r="D35" s="419"/>
      <c r="E35" s="419"/>
      <c r="F35" s="419"/>
      <c r="G35" s="419"/>
      <c r="H35" s="440">
        <f>SUM(H29:H34)</f>
        <v>3194.6254545454544</v>
      </c>
      <c r="I35" s="419"/>
      <c r="J35" s="440">
        <f>SUM(J29:J34)</f>
        <v>0</v>
      </c>
      <c r="K35" s="419"/>
      <c r="L35" s="440">
        <f>SUM(L29:L34)</f>
        <v>0</v>
      </c>
      <c r="Z35" s="362" t="s">
        <v>871</v>
      </c>
      <c r="AA35" s="433">
        <f>IF(AA30&gt;0,AA34/AA30,0)</f>
        <v>14.285714285714286</v>
      </c>
    </row>
    <row r="36" spans="1:38" customFormat="1" ht="18" customHeight="1" thickTop="1" x14ac:dyDescent="0.2"/>
    <row r="37" spans="1:38" customFormat="1" ht="18" customHeight="1" x14ac:dyDescent="0.2"/>
    <row r="38" spans="1:38" customFormat="1" ht="18" customHeight="1" x14ac:dyDescent="0.25">
      <c r="B38" s="5" t="s">
        <v>392</v>
      </c>
      <c r="C38" s="1"/>
      <c r="D38" s="1"/>
      <c r="E38" s="1"/>
      <c r="F38" s="1"/>
      <c r="G38" s="1"/>
      <c r="H38" s="1"/>
      <c r="I38" s="1"/>
      <c r="J38" s="1"/>
      <c r="K38" s="1"/>
      <c r="L38" s="419"/>
      <c r="M38" s="419"/>
      <c r="N38" s="419"/>
      <c r="O38" s="419"/>
      <c r="P38" s="419"/>
    </row>
    <row r="39" spans="1:38" ht="18" customHeight="1" x14ac:dyDescent="0.2">
      <c r="A39" s="1"/>
      <c r="B39" s="1"/>
      <c r="C39" s="1"/>
      <c r="D39" s="1"/>
      <c r="E39" s="1"/>
      <c r="F39" s="1"/>
      <c r="G39" s="1"/>
      <c r="H39" s="1"/>
      <c r="I39" s="1"/>
      <c r="J39" s="1"/>
      <c r="K39" s="1"/>
      <c r="Q39" s="1"/>
      <c r="R39" s="1"/>
      <c r="S39" s="1"/>
      <c r="T39" s="1"/>
      <c r="U39" s="1"/>
      <c r="V39" s="1"/>
      <c r="W39" s="1"/>
      <c r="X39" s="1"/>
      <c r="AA39" s="419"/>
    </row>
    <row r="40" spans="1:38" ht="28.5" customHeight="1" x14ac:dyDescent="0.2">
      <c r="A40" s="1"/>
      <c r="B40" s="1"/>
      <c r="C40" s="407" t="s">
        <v>720</v>
      </c>
      <c r="D40" s="408" t="s">
        <v>883</v>
      </c>
      <c r="E40" s="408" t="s">
        <v>884</v>
      </c>
      <c r="F40" s="408" t="s">
        <v>885</v>
      </c>
      <c r="G40" s="408" t="s">
        <v>886</v>
      </c>
      <c r="H40" s="408" t="s">
        <v>887</v>
      </c>
      <c r="I40" s="408" t="s">
        <v>888</v>
      </c>
      <c r="J40" s="408" t="s">
        <v>889</v>
      </c>
      <c r="K40" s="408" t="s">
        <v>395</v>
      </c>
      <c r="L40" s="408" t="s">
        <v>337</v>
      </c>
      <c r="M40" s="408" t="s">
        <v>993</v>
      </c>
      <c r="X40" s="1"/>
      <c r="Y40" s="1"/>
      <c r="AA40" s="419"/>
    </row>
    <row r="41" spans="1:38" ht="18" customHeight="1" x14ac:dyDescent="0.2">
      <c r="A41" s="1"/>
      <c r="B41" s="1" t="s">
        <v>698</v>
      </c>
      <c r="C41" s="409">
        <f t="shared" ref="C41:C46" si="18">D16</f>
        <v>195.2</v>
      </c>
      <c r="D41" s="410"/>
      <c r="E41" s="410"/>
      <c r="F41" s="410"/>
      <c r="G41" s="410">
        <v>0.38</v>
      </c>
      <c r="H41" s="410"/>
      <c r="I41" s="410"/>
      <c r="J41" s="410"/>
      <c r="K41" s="410"/>
      <c r="L41" s="410"/>
      <c r="M41" s="411">
        <f t="shared" ref="M41:M46" si="19">SUM(D41:L41)*C41</f>
        <v>74.176000000000002</v>
      </c>
      <c r="X41" s="1"/>
      <c r="AA41" s="419"/>
      <c r="AB41" s="419"/>
      <c r="AC41" s="419"/>
      <c r="AD41" s="419"/>
      <c r="AE41" s="419"/>
      <c r="AF41" s="419"/>
    </row>
    <row r="42" spans="1:38" ht="18" customHeight="1" x14ac:dyDescent="0.2">
      <c r="A42" s="1"/>
      <c r="B42" s="1" t="s">
        <v>699</v>
      </c>
      <c r="C42" s="409">
        <f t="shared" si="18"/>
        <v>0</v>
      </c>
      <c r="D42" s="410"/>
      <c r="E42" s="410"/>
      <c r="F42" s="410"/>
      <c r="G42" s="410"/>
      <c r="H42" s="410"/>
      <c r="I42" s="410"/>
      <c r="J42" s="410"/>
      <c r="K42" s="410"/>
      <c r="L42" s="410"/>
      <c r="M42" s="411">
        <f t="shared" si="19"/>
        <v>0</v>
      </c>
      <c r="X42" s="1"/>
      <c r="AA42" s="419"/>
      <c r="AB42" s="419"/>
      <c r="AC42" s="419"/>
      <c r="AD42" s="419"/>
      <c r="AE42" s="419"/>
      <c r="AF42" s="419"/>
    </row>
    <row r="43" spans="1:38" ht="18" customHeight="1" x14ac:dyDescent="0.2">
      <c r="A43" s="1"/>
      <c r="B43" s="1" t="s">
        <v>700</v>
      </c>
      <c r="C43" s="409">
        <f t="shared" si="18"/>
        <v>0</v>
      </c>
      <c r="D43" s="410"/>
      <c r="E43" s="410"/>
      <c r="F43" s="410"/>
      <c r="G43" s="410"/>
      <c r="H43" s="410"/>
      <c r="I43" s="410"/>
      <c r="J43" s="410"/>
      <c r="K43" s="410"/>
      <c r="L43" s="410"/>
      <c r="M43" s="411">
        <f t="shared" si="19"/>
        <v>0</v>
      </c>
      <c r="X43" s="1"/>
      <c r="AA43" s="419"/>
      <c r="AB43" s="419"/>
      <c r="AC43" s="419"/>
      <c r="AD43" s="419"/>
      <c r="AE43" s="419"/>
      <c r="AF43" s="419"/>
    </row>
    <row r="44" spans="1:38" ht="18" customHeight="1" x14ac:dyDescent="0.2">
      <c r="A44" s="1"/>
      <c r="B44" s="1" t="s">
        <v>701</v>
      </c>
      <c r="C44" s="409">
        <f t="shared" si="18"/>
        <v>0</v>
      </c>
      <c r="D44" s="410"/>
      <c r="E44" s="410"/>
      <c r="F44" s="410"/>
      <c r="G44" s="410"/>
      <c r="H44" s="410"/>
      <c r="I44" s="410"/>
      <c r="J44" s="410"/>
      <c r="K44" s="410"/>
      <c r="L44" s="410"/>
      <c r="M44" s="411">
        <f t="shared" si="19"/>
        <v>0</v>
      </c>
      <c r="X44" s="1"/>
      <c r="AA44" s="419"/>
      <c r="AB44" s="419"/>
      <c r="AC44" s="419"/>
      <c r="AD44" s="419"/>
      <c r="AE44" s="419"/>
      <c r="AF44" s="419"/>
    </row>
    <row r="45" spans="1:38" ht="18" customHeight="1" x14ac:dyDescent="0.2">
      <c r="A45" s="1"/>
      <c r="B45" s="1" t="s">
        <v>702</v>
      </c>
      <c r="C45" s="409">
        <f t="shared" si="18"/>
        <v>0</v>
      </c>
      <c r="D45" s="410"/>
      <c r="E45" s="410"/>
      <c r="F45" s="410"/>
      <c r="G45" s="410"/>
      <c r="H45" s="410"/>
      <c r="I45" s="410"/>
      <c r="J45" s="410"/>
      <c r="K45" s="410"/>
      <c r="L45" s="410"/>
      <c r="M45" s="411">
        <f t="shared" si="19"/>
        <v>0</v>
      </c>
      <c r="X45" s="1"/>
      <c r="AA45" s="419"/>
      <c r="AB45" s="419"/>
      <c r="AC45" s="419"/>
      <c r="AD45" s="419"/>
      <c r="AE45" s="419"/>
      <c r="AF45" s="419"/>
      <c r="AL45" s="444"/>
    </row>
    <row r="46" spans="1:38" ht="18" customHeight="1" x14ac:dyDescent="0.2">
      <c r="A46" s="1"/>
      <c r="B46" s="1" t="s">
        <v>703</v>
      </c>
      <c r="C46" s="409">
        <f t="shared" si="18"/>
        <v>0</v>
      </c>
      <c r="D46" s="410"/>
      <c r="E46" s="410"/>
      <c r="F46" s="410"/>
      <c r="G46" s="410"/>
      <c r="H46" s="410"/>
      <c r="I46" s="410"/>
      <c r="J46" s="410"/>
      <c r="K46" s="410"/>
      <c r="L46" s="410"/>
      <c r="M46" s="411">
        <f t="shared" si="19"/>
        <v>0</v>
      </c>
      <c r="X46" s="1"/>
      <c r="AA46" s="419"/>
      <c r="AB46" s="419"/>
      <c r="AC46" s="419"/>
      <c r="AD46" s="419"/>
      <c r="AE46" s="419"/>
      <c r="AF46" s="419"/>
      <c r="AK46" s="444"/>
      <c r="AL46" s="444"/>
    </row>
    <row r="47" spans="1:38" ht="18" customHeight="1" x14ac:dyDescent="0.2">
      <c r="A47" s="1"/>
      <c r="B47" s="1"/>
      <c r="C47" s="1"/>
      <c r="D47" s="412">
        <f t="shared" ref="D47:L47" si="20">SUMPRODUCT($C$41:$C$46,D41:D46)</f>
        <v>0</v>
      </c>
      <c r="E47" s="412">
        <f t="shared" si="20"/>
        <v>0</v>
      </c>
      <c r="F47" s="412">
        <f t="shared" si="20"/>
        <v>0</v>
      </c>
      <c r="G47" s="412">
        <f t="shared" si="20"/>
        <v>74.176000000000002</v>
      </c>
      <c r="H47" s="412">
        <f t="shared" si="20"/>
        <v>0</v>
      </c>
      <c r="I47" s="412">
        <f t="shared" si="20"/>
        <v>0</v>
      </c>
      <c r="J47" s="412">
        <f t="shared" si="20"/>
        <v>0</v>
      </c>
      <c r="K47" s="412">
        <f t="shared" si="20"/>
        <v>0</v>
      </c>
      <c r="L47" s="412">
        <f t="shared" si="20"/>
        <v>0</v>
      </c>
      <c r="M47" s="411">
        <f>SUM(M41:M46)</f>
        <v>74.176000000000002</v>
      </c>
      <c r="X47" s="1"/>
      <c r="AA47" s="419"/>
      <c r="AB47" s="419"/>
      <c r="AC47" s="419"/>
      <c r="AD47" s="419"/>
      <c r="AE47" s="419"/>
      <c r="AF47" s="419"/>
      <c r="AK47" s="444"/>
      <c r="AL47" s="444"/>
    </row>
    <row r="48" spans="1:38" ht="18" customHeight="1" x14ac:dyDescent="0.2">
      <c r="A48" s="1"/>
      <c r="Q48" s="1"/>
      <c r="R48" s="1"/>
      <c r="S48" s="1"/>
      <c r="T48" s="1"/>
      <c r="U48" s="1"/>
      <c r="V48" s="1"/>
      <c r="W48" s="1"/>
      <c r="X48" s="1"/>
      <c r="AA48" s="419"/>
      <c r="AB48" s="419"/>
      <c r="AC48" s="419"/>
      <c r="AD48" s="419"/>
      <c r="AE48" s="419"/>
      <c r="AF48" s="419"/>
      <c r="AK48" s="444"/>
      <c r="AL48" s="444"/>
    </row>
    <row r="49" spans="1:38" ht="18" customHeight="1" x14ac:dyDescent="0.2">
      <c r="A49" s="1"/>
      <c r="Q49" s="1"/>
      <c r="R49" s="1"/>
      <c r="S49" s="1"/>
      <c r="T49" s="1"/>
      <c r="U49" s="1"/>
      <c r="V49" s="1"/>
      <c r="W49" s="1"/>
      <c r="X49" s="1"/>
      <c r="AA49" s="419"/>
      <c r="AB49" s="419"/>
      <c r="AC49" s="419"/>
      <c r="AD49" s="419"/>
      <c r="AE49" s="419"/>
      <c r="AF49" s="419"/>
      <c r="AK49" s="444"/>
      <c r="AL49" s="444"/>
    </row>
    <row r="50" spans="1:38" ht="18" customHeight="1" x14ac:dyDescent="0.2">
      <c r="A50" s="1"/>
      <c r="Q50" s="1"/>
      <c r="R50" s="1"/>
      <c r="S50" s="1"/>
      <c r="T50" s="1"/>
      <c r="U50" s="1"/>
      <c r="V50" s="1"/>
      <c r="W50" s="1"/>
      <c r="X50" s="1"/>
      <c r="AA50" s="419"/>
      <c r="AB50" s="419"/>
      <c r="AC50" s="419"/>
      <c r="AD50" s="419"/>
      <c r="AE50" s="419"/>
      <c r="AF50" s="419"/>
      <c r="AK50" s="444"/>
      <c r="AL50" s="444"/>
    </row>
    <row r="51" spans="1:38" ht="18" customHeight="1" x14ac:dyDescent="0.25">
      <c r="A51" s="1"/>
      <c r="B51" s="5" t="s">
        <v>401</v>
      </c>
      <c r="C51"/>
      <c r="D51"/>
      <c r="E51"/>
      <c r="F51"/>
      <c r="G51"/>
      <c r="H51"/>
      <c r="I51"/>
      <c r="J51"/>
      <c r="K51"/>
      <c r="L51"/>
      <c r="M51"/>
      <c r="N51"/>
      <c r="O51"/>
      <c r="P51"/>
      <c r="Q51" s="1"/>
      <c r="R51" s="1"/>
      <c r="S51" s="1"/>
      <c r="T51" s="1"/>
      <c r="U51" s="1"/>
      <c r="V51" s="1"/>
      <c r="W51" s="1"/>
      <c r="X51" s="1"/>
      <c r="AA51" s="419"/>
      <c r="AB51" s="419"/>
      <c r="AC51" s="419"/>
      <c r="AD51" s="419"/>
      <c r="AE51" s="419"/>
      <c r="AF51" s="419"/>
      <c r="AK51" s="444"/>
      <c r="AL51" s="444"/>
    </row>
    <row r="52" spans="1:38" ht="18" customHeight="1" x14ac:dyDescent="0.25">
      <c r="A52" s="1"/>
      <c r="B52" s="5"/>
      <c r="C52" s="1"/>
      <c r="D52" s="1"/>
      <c r="E52" s="1"/>
      <c r="F52" s="1"/>
      <c r="G52" s="1"/>
      <c r="H52" s="1"/>
      <c r="I52" s="1"/>
      <c r="J52" s="1"/>
      <c r="K52" s="1"/>
      <c r="L52" s="1"/>
      <c r="M52" s="1"/>
      <c r="N52" s="1"/>
      <c r="O52" s="1"/>
      <c r="P52" s="1"/>
      <c r="Q52" s="1"/>
      <c r="R52" s="1"/>
      <c r="S52" s="1"/>
      <c r="T52" s="1"/>
      <c r="U52" s="1"/>
      <c r="V52" s="1"/>
      <c r="W52" s="1"/>
      <c r="X52" s="1"/>
      <c r="AA52" s="419"/>
      <c r="AB52" s="419"/>
      <c r="AC52" s="419"/>
      <c r="AD52" s="419"/>
      <c r="AE52" s="419"/>
      <c r="AF52" s="419"/>
      <c r="AK52" s="444"/>
      <c r="AL52" s="444"/>
    </row>
    <row r="53" spans="1:38" ht="30" x14ac:dyDescent="0.2">
      <c r="A53" s="1"/>
      <c r="B53" s="1"/>
      <c r="C53" s="407" t="s">
        <v>704</v>
      </c>
      <c r="D53" s="407" t="s">
        <v>824</v>
      </c>
      <c r="E53" s="407" t="s">
        <v>705</v>
      </c>
      <c r="F53" s="407" t="s">
        <v>378</v>
      </c>
      <c r="G53" s="407" t="s">
        <v>379</v>
      </c>
      <c r="H53" s="407" t="s">
        <v>706</v>
      </c>
      <c r="I53" s="407" t="s">
        <v>380</v>
      </c>
      <c r="J53" s="407" t="s">
        <v>850</v>
      </c>
      <c r="K53" s="407" t="s">
        <v>707</v>
      </c>
      <c r="L53" s="407" t="s">
        <v>708</v>
      </c>
      <c r="M53" s="407" t="s">
        <v>855</v>
      </c>
      <c r="N53" s="407" t="s">
        <v>851</v>
      </c>
      <c r="O53" s="407" t="s">
        <v>856</v>
      </c>
      <c r="Q53" s="1"/>
      <c r="R53" s="1"/>
      <c r="S53" s="1"/>
      <c r="T53" s="1"/>
      <c r="U53" s="1"/>
      <c r="V53" s="1"/>
      <c r="W53" s="1"/>
      <c r="X53" s="1"/>
      <c r="AA53" s="419"/>
      <c r="AB53" s="419"/>
      <c r="AC53" s="419"/>
      <c r="AD53" s="419"/>
      <c r="AE53" s="419"/>
      <c r="AF53" s="419"/>
      <c r="AK53" s="444"/>
      <c r="AL53" s="444"/>
    </row>
    <row r="54" spans="1:38" ht="18" customHeight="1" x14ac:dyDescent="0.2">
      <c r="A54" s="1"/>
      <c r="B54" s="1" t="s">
        <v>698</v>
      </c>
      <c r="C54" s="431">
        <f>C16+90</f>
        <v>41761</v>
      </c>
      <c r="D54" s="409">
        <f t="shared" ref="D54:D59" si="21">C54-C16</f>
        <v>90</v>
      </c>
      <c r="E54" s="429">
        <v>596</v>
      </c>
      <c r="F54" s="409">
        <f t="shared" ref="F54:F59" si="22">E54-F16</f>
        <v>72</v>
      </c>
      <c r="G54" s="413">
        <f t="shared" ref="G54:G59" si="23">IF(F54&lt;=0,0,F54/D54)</f>
        <v>0.8</v>
      </c>
      <c r="H54" s="441">
        <f>D16</f>
        <v>195.2</v>
      </c>
      <c r="I54" s="421">
        <f t="shared" ref="I54:I59" si="24">IF(H54&lt;=0,0,(H54-D16)/D16)</f>
        <v>0</v>
      </c>
      <c r="J54" s="442">
        <v>1.6639999999999999</v>
      </c>
      <c r="K54" s="550">
        <f t="shared" ref="K54:K59" si="25">J54*E54</f>
        <v>991.74399999999991</v>
      </c>
      <c r="L54" s="411">
        <f t="shared" ref="L54:L59" si="26">K54*H54</f>
        <v>193588.42879999997</v>
      </c>
      <c r="M54" s="409">
        <f t="shared" ref="M54:M59" si="27">E54*H54</f>
        <v>116339.2</v>
      </c>
      <c r="N54" s="415">
        <v>0.52</v>
      </c>
      <c r="O54" s="409">
        <f t="shared" ref="O54:O59" si="28">N54*M54</f>
        <v>60496.383999999998</v>
      </c>
      <c r="Q54" s="1"/>
      <c r="R54" s="1"/>
      <c r="S54" s="1"/>
      <c r="T54" s="1"/>
      <c r="U54" s="1"/>
      <c r="V54" s="1"/>
      <c r="W54" s="1"/>
      <c r="X54" s="1"/>
      <c r="AA54" s="419"/>
      <c r="AB54" s="419"/>
      <c r="AC54" s="419"/>
      <c r="AD54" s="419"/>
      <c r="AE54" s="419"/>
      <c r="AF54" s="419"/>
      <c r="AK54" s="444"/>
      <c r="AL54" s="444"/>
    </row>
    <row r="55" spans="1:38" ht="18" customHeight="1" x14ac:dyDescent="0.2">
      <c r="A55" s="1"/>
      <c r="B55" s="1" t="s">
        <v>699</v>
      </c>
      <c r="C55" s="431"/>
      <c r="D55" s="409">
        <f t="shared" si="21"/>
        <v>0</v>
      </c>
      <c r="E55" s="429"/>
      <c r="F55" s="409">
        <f t="shared" si="22"/>
        <v>0</v>
      </c>
      <c r="G55" s="413">
        <f t="shared" si="23"/>
        <v>0</v>
      </c>
      <c r="H55" s="435"/>
      <c r="I55" s="421">
        <f t="shared" si="24"/>
        <v>0</v>
      </c>
      <c r="J55" s="442"/>
      <c r="K55" s="550">
        <f t="shared" si="25"/>
        <v>0</v>
      </c>
      <c r="L55" s="411">
        <f t="shared" si="26"/>
        <v>0</v>
      </c>
      <c r="M55" s="409">
        <f t="shared" si="27"/>
        <v>0</v>
      </c>
      <c r="N55" s="415">
        <v>0.52</v>
      </c>
      <c r="O55" s="409">
        <f t="shared" si="28"/>
        <v>0</v>
      </c>
      <c r="Q55" s="1"/>
      <c r="R55" s="1"/>
      <c r="S55" s="1"/>
      <c r="T55" s="1"/>
      <c r="U55" s="1"/>
      <c r="V55" s="1"/>
      <c r="W55" s="1"/>
      <c r="X55" s="1"/>
      <c r="AA55" s="419"/>
      <c r="AB55" s="419"/>
      <c r="AC55" s="419"/>
      <c r="AD55" s="419"/>
      <c r="AE55" s="419"/>
      <c r="AF55" s="419"/>
      <c r="AK55" s="444"/>
      <c r="AL55" s="444"/>
    </row>
    <row r="56" spans="1:38" x14ac:dyDescent="0.2">
      <c r="A56" s="1"/>
      <c r="B56" s="1" t="s">
        <v>700</v>
      </c>
      <c r="C56" s="431"/>
      <c r="D56" s="409">
        <f t="shared" si="21"/>
        <v>0</v>
      </c>
      <c r="E56" s="429"/>
      <c r="F56" s="409">
        <f t="shared" si="22"/>
        <v>0</v>
      </c>
      <c r="G56" s="413">
        <f t="shared" si="23"/>
        <v>0</v>
      </c>
      <c r="H56" s="435"/>
      <c r="I56" s="421">
        <f t="shared" si="24"/>
        <v>0</v>
      </c>
      <c r="J56" s="442"/>
      <c r="K56" s="550">
        <f t="shared" si="25"/>
        <v>0</v>
      </c>
      <c r="L56" s="411">
        <f t="shared" si="26"/>
        <v>0</v>
      </c>
      <c r="M56" s="409">
        <f t="shared" si="27"/>
        <v>0</v>
      </c>
      <c r="N56" s="415">
        <v>0.52</v>
      </c>
      <c r="O56" s="409">
        <f t="shared" si="28"/>
        <v>0</v>
      </c>
      <c r="Q56" s="1"/>
      <c r="R56" s="1"/>
      <c r="S56" s="1"/>
      <c r="T56" s="1"/>
      <c r="U56" s="1"/>
      <c r="V56" s="1"/>
      <c r="W56" s="1"/>
      <c r="X56" s="1"/>
      <c r="AA56" s="419"/>
      <c r="AB56" s="419"/>
      <c r="AC56" s="419"/>
      <c r="AD56" s="419"/>
      <c r="AE56" s="419"/>
      <c r="AF56" s="419"/>
      <c r="AK56" s="444"/>
      <c r="AL56" s="444"/>
    </row>
    <row r="57" spans="1:38" ht="18" customHeight="1" x14ac:dyDescent="0.2">
      <c r="A57" s="1"/>
      <c r="B57" s="1" t="s">
        <v>701</v>
      </c>
      <c r="C57" s="431"/>
      <c r="D57" s="409">
        <f t="shared" si="21"/>
        <v>0</v>
      </c>
      <c r="E57" s="435"/>
      <c r="F57" s="409">
        <f t="shared" si="22"/>
        <v>0</v>
      </c>
      <c r="G57" s="413">
        <f t="shared" si="23"/>
        <v>0</v>
      </c>
      <c r="H57" s="435"/>
      <c r="I57" s="421">
        <f t="shared" si="24"/>
        <v>0</v>
      </c>
      <c r="J57" s="442"/>
      <c r="K57" s="550">
        <f t="shared" si="25"/>
        <v>0</v>
      </c>
      <c r="L57" s="411">
        <f t="shared" si="26"/>
        <v>0</v>
      </c>
      <c r="M57" s="409">
        <f t="shared" si="27"/>
        <v>0</v>
      </c>
      <c r="N57" s="415">
        <v>0.52</v>
      </c>
      <c r="O57" s="409">
        <f t="shared" si="28"/>
        <v>0</v>
      </c>
      <c r="Q57" s="1"/>
      <c r="R57" s="1"/>
      <c r="S57" s="1"/>
      <c r="T57" s="1"/>
      <c r="U57" s="1"/>
      <c r="V57" s="1"/>
      <c r="W57" s="1"/>
      <c r="X57" s="1"/>
      <c r="AA57" s="419"/>
      <c r="AB57" s="419"/>
      <c r="AC57" s="419"/>
      <c r="AD57" s="419"/>
      <c r="AE57" s="419"/>
      <c r="AF57" s="419"/>
      <c r="AK57" s="444"/>
      <c r="AL57" s="444"/>
    </row>
    <row r="58" spans="1:38" ht="18" customHeight="1" x14ac:dyDescent="0.2">
      <c r="A58" s="1"/>
      <c r="B58" s="1" t="s">
        <v>702</v>
      </c>
      <c r="C58" s="431"/>
      <c r="D58" s="409">
        <f t="shared" si="21"/>
        <v>0</v>
      </c>
      <c r="E58" s="435"/>
      <c r="F58" s="409">
        <f t="shared" si="22"/>
        <v>0</v>
      </c>
      <c r="G58" s="413">
        <f t="shared" si="23"/>
        <v>0</v>
      </c>
      <c r="H58" s="435"/>
      <c r="I58" s="421">
        <f t="shared" si="24"/>
        <v>0</v>
      </c>
      <c r="J58" s="442"/>
      <c r="K58" s="550">
        <f t="shared" si="25"/>
        <v>0</v>
      </c>
      <c r="L58" s="411">
        <f t="shared" si="26"/>
        <v>0</v>
      </c>
      <c r="M58" s="409">
        <f t="shared" si="27"/>
        <v>0</v>
      </c>
      <c r="N58" s="415">
        <v>0.52</v>
      </c>
      <c r="O58" s="409">
        <f t="shared" si="28"/>
        <v>0</v>
      </c>
      <c r="Q58" s="1"/>
      <c r="R58" s="1"/>
      <c r="S58" s="1"/>
      <c r="T58" s="1"/>
      <c r="U58" s="1"/>
      <c r="V58" s="1"/>
      <c r="W58" s="1"/>
      <c r="X58" s="1"/>
      <c r="AA58" s="419"/>
      <c r="AB58" s="419"/>
      <c r="AC58" s="419"/>
      <c r="AD58" s="419"/>
      <c r="AE58" s="419"/>
      <c r="AF58" s="419"/>
      <c r="AK58" s="444"/>
      <c r="AL58" s="444"/>
    </row>
    <row r="59" spans="1:38" ht="18" customHeight="1" x14ac:dyDescent="0.2">
      <c r="A59" s="1"/>
      <c r="B59" s="1" t="s">
        <v>703</v>
      </c>
      <c r="C59" s="431"/>
      <c r="D59" s="409">
        <f t="shared" si="21"/>
        <v>0</v>
      </c>
      <c r="E59" s="435"/>
      <c r="F59" s="409">
        <f t="shared" si="22"/>
        <v>0</v>
      </c>
      <c r="G59" s="413">
        <f t="shared" si="23"/>
        <v>0</v>
      </c>
      <c r="H59" s="435"/>
      <c r="I59" s="421">
        <f t="shared" si="24"/>
        <v>0</v>
      </c>
      <c r="J59" s="442"/>
      <c r="K59" s="550">
        <f t="shared" si="25"/>
        <v>0</v>
      </c>
      <c r="L59" s="411">
        <f t="shared" si="26"/>
        <v>0</v>
      </c>
      <c r="M59" s="409">
        <f t="shared" si="27"/>
        <v>0</v>
      </c>
      <c r="N59" s="415">
        <v>0.52</v>
      </c>
      <c r="O59" s="409">
        <f t="shared" si="28"/>
        <v>0</v>
      </c>
      <c r="Q59" s="1"/>
      <c r="R59" s="1"/>
      <c r="S59" s="1"/>
      <c r="T59" s="1"/>
      <c r="U59" s="1"/>
      <c r="V59" s="1"/>
      <c r="W59" s="1"/>
      <c r="X59" s="1"/>
      <c r="AA59" s="419"/>
      <c r="AB59" s="419"/>
      <c r="AC59" s="419"/>
      <c r="AD59" s="419"/>
      <c r="AE59" s="419"/>
      <c r="AF59" s="419"/>
      <c r="AK59" s="444"/>
      <c r="AL59" s="444"/>
    </row>
    <row r="60" spans="1:38" ht="18" customHeight="1" thickBot="1" x14ac:dyDescent="0.25">
      <c r="A60" s="1"/>
      <c r="B60" s="1"/>
      <c r="C60" s="1"/>
      <c r="D60" s="1"/>
      <c r="E60" s="439">
        <f>SUMPRODUCT(E54:E59,H54:H59)</f>
        <v>116339.2</v>
      </c>
      <c r="F60" s="1"/>
      <c r="G60" s="1"/>
      <c r="I60" s="1"/>
      <c r="J60" s="1"/>
      <c r="K60" s="1" t="s">
        <v>993</v>
      </c>
      <c r="L60" s="440">
        <f>SUM(L54:L59)</f>
        <v>193588.42879999997</v>
      </c>
      <c r="M60" s="439">
        <f>SUM(M54:M59)</f>
        <v>116339.2</v>
      </c>
      <c r="O60" s="439">
        <f>SUM(O54:O59)</f>
        <v>60496.383999999998</v>
      </c>
      <c r="Q60" s="1"/>
      <c r="R60" s="1"/>
      <c r="S60" s="1"/>
      <c r="T60" s="1"/>
      <c r="U60" s="1"/>
      <c r="V60" s="1"/>
      <c r="W60" s="1"/>
      <c r="X60" s="1"/>
      <c r="AA60" s="419"/>
      <c r="AB60" s="419"/>
      <c r="AC60" s="419"/>
      <c r="AD60" s="419"/>
      <c r="AE60" s="419"/>
      <c r="AF60" s="419"/>
      <c r="AK60" s="444"/>
      <c r="AL60" s="444"/>
    </row>
    <row r="61" spans="1:38" ht="18" customHeight="1" thickTop="1" x14ac:dyDescent="0.2">
      <c r="A61" s="1"/>
      <c r="B61" s="1"/>
      <c r="C61" s="1"/>
      <c r="D61" s="1"/>
      <c r="E61" s="1"/>
      <c r="F61" s="1"/>
      <c r="G61" s="1"/>
      <c r="H61" s="1"/>
      <c r="I61" s="1"/>
      <c r="J61" s="1"/>
      <c r="K61" s="1"/>
      <c r="L61" s="12" t="s">
        <v>562</v>
      </c>
      <c r="M61" s="481">
        <f>F22</f>
        <v>102284.79999999999</v>
      </c>
      <c r="N61" s="1"/>
      <c r="O61" s="481">
        <f>M61*O60/M60</f>
        <v>53188.095999999998</v>
      </c>
      <c r="P61" s="1"/>
      <c r="Q61" s="1"/>
      <c r="R61" s="1"/>
      <c r="S61" s="1"/>
      <c r="T61" s="1"/>
      <c r="U61" s="1"/>
      <c r="V61" s="1"/>
      <c r="W61" s="1"/>
      <c r="X61" s="1"/>
      <c r="AA61" s="419"/>
      <c r="AB61" s="419"/>
      <c r="AC61" s="419"/>
      <c r="AD61" s="419"/>
      <c r="AE61" s="419"/>
      <c r="AF61" s="419"/>
      <c r="AK61" s="444"/>
      <c r="AL61" s="444"/>
    </row>
    <row r="62" spans="1:38" ht="18" customHeight="1" x14ac:dyDescent="0.25">
      <c r="A62" s="1"/>
      <c r="L62" s="547" t="s">
        <v>381</v>
      </c>
      <c r="M62" s="247">
        <f>M60-M61</f>
        <v>14054.400000000009</v>
      </c>
      <c r="N62" t="s">
        <v>382</v>
      </c>
      <c r="O62" s="247">
        <f>O60-O61</f>
        <v>7308.2880000000005</v>
      </c>
      <c r="P62" s="1" t="s">
        <v>383</v>
      </c>
      <c r="Q62" s="1"/>
      <c r="R62" s="1"/>
      <c r="S62" s="1"/>
      <c r="T62" s="1"/>
      <c r="U62" s="1"/>
      <c r="V62" s="1"/>
      <c r="W62" s="1"/>
      <c r="X62" s="1"/>
      <c r="AA62" s="419"/>
      <c r="AB62" s="419"/>
      <c r="AC62" s="419"/>
      <c r="AD62" s="419"/>
      <c r="AE62" s="419"/>
      <c r="AF62" s="419"/>
      <c r="AK62" s="444"/>
      <c r="AL62" s="444"/>
    </row>
    <row r="63" spans="1:38" ht="18" customHeight="1" x14ac:dyDescent="0.25">
      <c r="A63" s="1"/>
      <c r="B63" s="446"/>
      <c r="L63" s="245"/>
      <c r="M63"/>
      <c r="N63"/>
      <c r="O63"/>
      <c r="P63" s="1"/>
      <c r="Q63" s="1"/>
      <c r="R63" s="1"/>
      <c r="S63" s="1"/>
      <c r="T63" s="1"/>
      <c r="U63" s="1"/>
      <c r="V63" s="1"/>
      <c r="W63" s="1"/>
      <c r="X63" s="1"/>
      <c r="AA63" s="419"/>
      <c r="AB63" s="419"/>
      <c r="AC63" s="419"/>
      <c r="AD63" s="419"/>
      <c r="AE63" s="419"/>
      <c r="AF63" s="419"/>
      <c r="AK63" s="444"/>
      <c r="AL63" s="444"/>
    </row>
    <row r="64" spans="1:38" ht="18" customHeight="1" x14ac:dyDescent="0.25">
      <c r="A64" s="1"/>
      <c r="B64" s="446"/>
      <c r="L64" s="245"/>
      <c r="M64"/>
      <c r="N64"/>
      <c r="O64"/>
      <c r="P64" s="1"/>
      <c r="Q64" s="1"/>
      <c r="R64" s="1"/>
      <c r="S64" s="1"/>
      <c r="T64" s="1"/>
      <c r="U64" s="1"/>
      <c r="V64" s="1"/>
      <c r="W64" s="1"/>
      <c r="X64" s="1"/>
      <c r="AA64" s="419"/>
      <c r="AB64" s="419"/>
      <c r="AC64" s="419"/>
      <c r="AD64" s="419"/>
      <c r="AE64" s="419"/>
      <c r="AF64" s="419"/>
      <c r="AK64" s="444"/>
      <c r="AL64" s="444"/>
    </row>
    <row r="65" spans="1:38" ht="18" customHeight="1" x14ac:dyDescent="0.25">
      <c r="A65" s="1"/>
      <c r="B65" s="446"/>
      <c r="L65" s="245"/>
      <c r="M65"/>
      <c r="N65"/>
      <c r="O65"/>
      <c r="P65" s="1"/>
      <c r="Q65" s="1"/>
      <c r="R65" s="1"/>
      <c r="S65" s="1"/>
      <c r="T65" s="1"/>
      <c r="U65" s="1"/>
      <c r="V65" s="1"/>
      <c r="W65" s="1"/>
      <c r="X65" s="1"/>
      <c r="AA65" s="419"/>
      <c r="AB65" s="419"/>
      <c r="AC65" s="419"/>
      <c r="AD65" s="419"/>
      <c r="AE65" s="419"/>
      <c r="AF65" s="419"/>
      <c r="AK65" s="444"/>
      <c r="AL65" s="444"/>
    </row>
    <row r="66" spans="1:38" ht="18" customHeight="1" x14ac:dyDescent="0.25">
      <c r="A66" s="1"/>
      <c r="B66" s="446" t="s">
        <v>561</v>
      </c>
      <c r="L66" s="245"/>
      <c r="M66"/>
      <c r="N66"/>
      <c r="O66"/>
      <c r="P66" s="1"/>
      <c r="Q66" s="1"/>
      <c r="R66" s="1"/>
      <c r="S66" s="1"/>
      <c r="T66" s="1"/>
      <c r="U66" s="1"/>
      <c r="V66" s="1"/>
      <c r="W66" s="1"/>
      <c r="X66" s="1"/>
      <c r="AA66" s="419"/>
      <c r="AB66" s="419"/>
      <c r="AC66" s="419"/>
      <c r="AD66" s="419"/>
      <c r="AE66" s="419"/>
      <c r="AF66" s="419"/>
      <c r="AK66" s="444"/>
      <c r="AL66" s="444"/>
    </row>
    <row r="67" spans="1:38" ht="18" customHeight="1" x14ac:dyDescent="0.2">
      <c r="A67" s="1"/>
      <c r="M67" s="1"/>
      <c r="N67" s="1"/>
      <c r="O67" s="1"/>
      <c r="P67" s="1"/>
      <c r="Q67" s="1"/>
      <c r="R67" s="1"/>
      <c r="S67" s="1"/>
      <c r="T67" s="1"/>
      <c r="U67" s="1"/>
      <c r="V67" s="1"/>
      <c r="W67" s="1"/>
      <c r="X67" s="1"/>
      <c r="AA67" s="419"/>
      <c r="AB67" s="419"/>
      <c r="AC67" s="419"/>
      <c r="AD67" s="419"/>
      <c r="AE67" s="419"/>
      <c r="AF67" s="419"/>
      <c r="AK67" s="444"/>
      <c r="AL67" s="444"/>
    </row>
    <row r="68" spans="1:38" ht="33" customHeight="1" x14ac:dyDescent="0.2">
      <c r="A68" s="1"/>
      <c r="C68" s="407" t="s">
        <v>709</v>
      </c>
      <c r="D68" s="407" t="s">
        <v>710</v>
      </c>
      <c r="E68" s="407" t="s">
        <v>711</v>
      </c>
      <c r="F68" s="407" t="s">
        <v>712</v>
      </c>
      <c r="G68" s="407" t="s">
        <v>713</v>
      </c>
      <c r="H68" s="407" t="s">
        <v>714</v>
      </c>
      <c r="I68" s="407" t="s">
        <v>715</v>
      </c>
      <c r="J68" s="407" t="s">
        <v>716</v>
      </c>
      <c r="K68" s="407" t="s">
        <v>717</v>
      </c>
      <c r="L68" s="407" t="s">
        <v>718</v>
      </c>
      <c r="M68" s="407" t="s">
        <v>719</v>
      </c>
      <c r="O68" s="1"/>
      <c r="P68" s="1"/>
      <c r="Q68" s="1"/>
      <c r="R68" s="1"/>
      <c r="S68" s="1"/>
      <c r="T68" s="1"/>
      <c r="U68" s="1"/>
      <c r="V68" s="1"/>
      <c r="W68" s="1"/>
      <c r="X68" s="1"/>
      <c r="AA68" s="419"/>
      <c r="AB68" s="419"/>
      <c r="AC68" s="419"/>
      <c r="AD68" s="419"/>
      <c r="AE68" s="419"/>
      <c r="AF68" s="419"/>
      <c r="AK68" s="444"/>
      <c r="AL68" s="444"/>
    </row>
    <row r="69" spans="1:38" ht="18" customHeight="1" x14ac:dyDescent="0.2">
      <c r="A69" s="1"/>
      <c r="B69" s="419" t="str">
        <f t="shared" ref="B69:B74" si="29">B54</f>
        <v>Mob 1</v>
      </c>
      <c r="C69" s="448"/>
      <c r="D69" s="411">
        <f t="shared" ref="D69:D74" si="30">C69*L54</f>
        <v>0</v>
      </c>
      <c r="E69" s="449">
        <v>5</v>
      </c>
      <c r="F69" s="449"/>
      <c r="G69" s="449"/>
      <c r="H69" s="411">
        <f t="shared" ref="H69:H74" si="31">(E69*H54)+(F69*H54)+G69</f>
        <v>976</v>
      </c>
      <c r="I69" s="450">
        <v>421</v>
      </c>
      <c r="J69" s="451">
        <v>1.9</v>
      </c>
      <c r="K69" s="450">
        <v>20</v>
      </c>
      <c r="L69" s="411">
        <f t="shared" ref="L69:L74" si="32">IF(K69=0,0,IF(H54&lt;=0,0,H54*I69*J69/K69))</f>
        <v>7807.0239999999994</v>
      </c>
      <c r="M69" s="433">
        <f t="shared" ref="M69:M74" si="33">IF(L69&lt;=0,0,L69/H54)</f>
        <v>39.994999999999997</v>
      </c>
      <c r="O69" s="1"/>
      <c r="P69" s="1"/>
      <c r="Q69" s="1"/>
      <c r="R69" s="1"/>
      <c r="S69" s="1"/>
      <c r="T69" s="1"/>
      <c r="U69" s="1"/>
      <c r="V69" s="1"/>
      <c r="W69" s="1"/>
      <c r="X69" s="1"/>
      <c r="AA69" s="419"/>
      <c r="AB69" s="419"/>
      <c r="AC69" s="419"/>
      <c r="AD69" s="419"/>
      <c r="AE69" s="419"/>
      <c r="AF69" s="419"/>
      <c r="AK69" s="444"/>
      <c r="AL69" s="444"/>
    </row>
    <row r="70" spans="1:38" ht="18" customHeight="1" x14ac:dyDescent="0.2">
      <c r="A70" s="1"/>
      <c r="B70" s="419" t="str">
        <f t="shared" si="29"/>
        <v>Mob 2</v>
      </c>
      <c r="C70" s="448"/>
      <c r="D70" s="411">
        <f t="shared" si="30"/>
        <v>0</v>
      </c>
      <c r="E70" s="449"/>
      <c r="F70" s="449"/>
      <c r="G70" s="449"/>
      <c r="H70" s="411">
        <f t="shared" si="31"/>
        <v>0</v>
      </c>
      <c r="I70" s="450"/>
      <c r="J70" s="451"/>
      <c r="K70" s="450"/>
      <c r="L70" s="411">
        <f t="shared" si="32"/>
        <v>0</v>
      </c>
      <c r="M70" s="433">
        <f t="shared" si="33"/>
        <v>0</v>
      </c>
      <c r="O70" s="1"/>
      <c r="P70" s="1"/>
      <c r="Q70" s="1"/>
      <c r="R70" s="1"/>
      <c r="S70" s="1"/>
      <c r="T70" s="1"/>
      <c r="U70" s="1"/>
      <c r="V70" s="1"/>
      <c r="W70" s="1"/>
      <c r="X70" s="1"/>
      <c r="AA70" s="419"/>
      <c r="AB70" s="419"/>
      <c r="AC70" s="419"/>
      <c r="AD70" s="419"/>
      <c r="AE70" s="419"/>
      <c r="AF70" s="419"/>
      <c r="AK70" s="444"/>
      <c r="AL70" s="444"/>
    </row>
    <row r="71" spans="1:38" ht="18" customHeight="1" x14ac:dyDescent="0.2">
      <c r="A71" s="1"/>
      <c r="B71" s="419" t="str">
        <f t="shared" si="29"/>
        <v>Mob 3</v>
      </c>
      <c r="C71" s="448"/>
      <c r="D71" s="411">
        <f t="shared" si="30"/>
        <v>0</v>
      </c>
      <c r="E71" s="449"/>
      <c r="F71" s="449"/>
      <c r="G71" s="449"/>
      <c r="H71" s="411">
        <f t="shared" si="31"/>
        <v>0</v>
      </c>
      <c r="I71" s="450"/>
      <c r="J71" s="451"/>
      <c r="K71" s="450"/>
      <c r="L71" s="411">
        <f t="shared" si="32"/>
        <v>0</v>
      </c>
      <c r="M71" s="433">
        <f t="shared" si="33"/>
        <v>0</v>
      </c>
      <c r="O71" s="1"/>
      <c r="P71" s="1"/>
      <c r="Q71" s="1"/>
      <c r="R71" s="1"/>
      <c r="S71" s="1"/>
      <c r="T71" s="1"/>
      <c r="U71" s="1"/>
      <c r="V71" s="1"/>
      <c r="W71" s="1"/>
      <c r="X71" s="1"/>
      <c r="AI71" s="444"/>
      <c r="AJ71" s="444"/>
      <c r="AK71" s="444"/>
      <c r="AL71" s="444"/>
    </row>
    <row r="72" spans="1:38" ht="18" customHeight="1" x14ac:dyDescent="0.2">
      <c r="A72" s="1"/>
      <c r="B72" s="419" t="str">
        <f t="shared" si="29"/>
        <v>Mob 4</v>
      </c>
      <c r="C72" s="448"/>
      <c r="D72" s="411">
        <f t="shared" si="30"/>
        <v>0</v>
      </c>
      <c r="E72" s="449"/>
      <c r="F72" s="449"/>
      <c r="G72" s="449"/>
      <c r="H72" s="411">
        <f t="shared" si="31"/>
        <v>0</v>
      </c>
      <c r="I72" s="450"/>
      <c r="J72" s="451"/>
      <c r="K72" s="450"/>
      <c r="L72" s="411">
        <f t="shared" si="32"/>
        <v>0</v>
      </c>
      <c r="M72" s="433">
        <f t="shared" si="33"/>
        <v>0</v>
      </c>
      <c r="O72" s="1"/>
      <c r="P72" s="1"/>
      <c r="Q72" s="1"/>
      <c r="R72" s="1"/>
      <c r="S72" s="1"/>
      <c r="T72" s="1"/>
      <c r="U72" s="1"/>
      <c r="V72" s="1"/>
      <c r="W72" s="1"/>
      <c r="X72" s="1"/>
      <c r="AI72" s="444"/>
      <c r="AJ72" s="444"/>
      <c r="AK72" s="444"/>
      <c r="AL72" s="444"/>
    </row>
    <row r="73" spans="1:38" ht="18" customHeight="1" x14ac:dyDescent="0.2">
      <c r="A73" s="1"/>
      <c r="B73" s="419" t="str">
        <f t="shared" si="29"/>
        <v>Mob 5</v>
      </c>
      <c r="C73" s="448"/>
      <c r="D73" s="411">
        <f t="shared" si="30"/>
        <v>0</v>
      </c>
      <c r="E73" s="449"/>
      <c r="F73" s="449"/>
      <c r="G73" s="449"/>
      <c r="H73" s="411">
        <f t="shared" si="31"/>
        <v>0</v>
      </c>
      <c r="I73" s="450"/>
      <c r="J73" s="451"/>
      <c r="K73" s="450"/>
      <c r="L73" s="411">
        <f t="shared" si="32"/>
        <v>0</v>
      </c>
      <c r="M73" s="433">
        <f t="shared" si="33"/>
        <v>0</v>
      </c>
      <c r="O73" s="1"/>
      <c r="P73" s="1"/>
      <c r="Q73" s="1"/>
      <c r="R73" s="1"/>
      <c r="S73" s="1"/>
      <c r="T73" s="1"/>
      <c r="U73" s="1"/>
      <c r="V73" s="1"/>
      <c r="W73" s="1"/>
      <c r="X73" s="1"/>
      <c r="Y73"/>
      <c r="Z73"/>
      <c r="AA73"/>
      <c r="AB73"/>
      <c r="AC73"/>
      <c r="AD73"/>
      <c r="AE73"/>
      <c r="AF73"/>
      <c r="AI73" s="444"/>
      <c r="AJ73" s="444"/>
      <c r="AK73" s="444"/>
      <c r="AL73" s="444"/>
    </row>
    <row r="74" spans="1:38" ht="18" customHeight="1" x14ac:dyDescent="0.2">
      <c r="A74" s="1"/>
      <c r="B74" s="419" t="str">
        <f t="shared" si="29"/>
        <v>Mob 6</v>
      </c>
      <c r="C74" s="448"/>
      <c r="D74" s="411">
        <f t="shared" si="30"/>
        <v>0</v>
      </c>
      <c r="E74" s="449"/>
      <c r="F74" s="449"/>
      <c r="G74" s="449"/>
      <c r="H74" s="411">
        <f t="shared" si="31"/>
        <v>0</v>
      </c>
      <c r="I74" s="450"/>
      <c r="J74" s="451"/>
      <c r="K74" s="450"/>
      <c r="L74" s="411">
        <f t="shared" si="32"/>
        <v>0</v>
      </c>
      <c r="M74" s="433">
        <f t="shared" si="33"/>
        <v>0</v>
      </c>
      <c r="O74" s="1"/>
      <c r="P74" s="1"/>
      <c r="Q74" s="1"/>
      <c r="R74" s="1"/>
      <c r="S74" s="1"/>
      <c r="T74" s="1"/>
      <c r="U74" s="1"/>
      <c r="V74" s="1"/>
      <c r="W74" s="1"/>
      <c r="X74" s="1"/>
      <c r="Y74"/>
      <c r="Z74"/>
      <c r="AA74"/>
      <c r="AB74"/>
      <c r="AC74"/>
      <c r="AD74"/>
      <c r="AE74"/>
      <c r="AF74"/>
      <c r="AI74" s="444"/>
      <c r="AJ74" s="444"/>
      <c r="AK74" s="444"/>
      <c r="AL74" s="444"/>
    </row>
    <row r="75" spans="1:38" ht="18" customHeight="1" thickBot="1" x14ac:dyDescent="0.25">
      <c r="A75" s="1"/>
      <c r="C75" s="1"/>
      <c r="D75" s="440">
        <f>SUM(D69:D74)</f>
        <v>0</v>
      </c>
      <c r="E75" s="1"/>
      <c r="F75" s="1"/>
      <c r="G75" s="1"/>
      <c r="H75" s="440">
        <f>SUM(H69:H74)</f>
        <v>976</v>
      </c>
      <c r="I75" s="1"/>
      <c r="J75" s="1"/>
      <c r="K75" s="1"/>
      <c r="L75" s="440">
        <f>SUM(L69:L74)</f>
        <v>7807.0239999999994</v>
      </c>
      <c r="M75" s="1"/>
      <c r="O75" s="1"/>
      <c r="P75" s="1"/>
      <c r="Q75" s="1"/>
      <c r="R75" s="1"/>
      <c r="S75" s="1"/>
      <c r="T75" s="1"/>
      <c r="U75" s="1"/>
      <c r="V75" s="1"/>
      <c r="W75" s="1"/>
      <c r="X75" s="1"/>
      <c r="Y75"/>
      <c r="Z75"/>
      <c r="AA75"/>
      <c r="AB75"/>
      <c r="AC75"/>
      <c r="AD75"/>
      <c r="AE75"/>
      <c r="AF75"/>
      <c r="AI75" s="444"/>
      <c r="AJ75" s="444"/>
      <c r="AK75" s="444"/>
      <c r="AL75" s="444"/>
    </row>
    <row r="76" spans="1:38" ht="18" customHeight="1" thickTop="1" x14ac:dyDescent="0.2">
      <c r="A76" s="1"/>
      <c r="B76" s="1"/>
      <c r="C76" s="1"/>
      <c r="D76" s="1"/>
      <c r="E76" s="1"/>
      <c r="F76" s="1"/>
      <c r="G76" s="1"/>
      <c r="H76" s="1"/>
      <c r="I76" s="1"/>
      <c r="J76" s="1"/>
      <c r="K76" s="1"/>
      <c r="L76" s="1"/>
      <c r="M76" s="1"/>
      <c r="N76" s="1"/>
      <c r="O76" s="1"/>
      <c r="P76" s="1"/>
      <c r="Q76" s="1"/>
      <c r="R76" s="1"/>
      <c r="S76" s="1"/>
      <c r="T76" s="1"/>
      <c r="U76" s="1"/>
      <c r="V76" s="1"/>
      <c r="W76" s="1"/>
      <c r="X76" s="1"/>
      <c r="Y76"/>
      <c r="Z76"/>
      <c r="AA76"/>
      <c r="AB76"/>
      <c r="AC76"/>
      <c r="AD76"/>
      <c r="AE76"/>
      <c r="AF76"/>
      <c r="AI76" s="444"/>
      <c r="AJ76" s="444"/>
      <c r="AK76" s="444"/>
      <c r="AL76" s="444"/>
    </row>
    <row r="77" spans="1:38" ht="18" customHeight="1" x14ac:dyDescent="0.2">
      <c r="A77" s="1"/>
      <c r="L77" s="1"/>
      <c r="M77" s="1"/>
      <c r="N77" s="1"/>
      <c r="O77" s="1"/>
      <c r="P77" s="1"/>
      <c r="Q77" s="1"/>
      <c r="R77" s="1"/>
      <c r="S77" s="1"/>
      <c r="T77" s="1"/>
      <c r="U77" s="1"/>
      <c r="V77" s="1"/>
      <c r="W77" s="1"/>
      <c r="X77" s="1"/>
      <c r="Y77"/>
      <c r="Z77"/>
      <c r="AA77"/>
      <c r="AB77"/>
      <c r="AC77"/>
      <c r="AD77"/>
      <c r="AE77"/>
      <c r="AF77"/>
      <c r="AI77" s="444"/>
      <c r="AJ77" s="444"/>
      <c r="AK77" s="444"/>
      <c r="AL77" s="444"/>
    </row>
    <row r="78" spans="1:38" ht="18" customHeight="1" x14ac:dyDescent="0.2">
      <c r="A78" s="1"/>
      <c r="B78" s="1"/>
      <c r="C78" s="1"/>
      <c r="D78" s="1"/>
      <c r="E78" s="1"/>
      <c r="F78" s="1"/>
      <c r="G78" s="1"/>
      <c r="H78" s="1"/>
      <c r="I78" s="1"/>
      <c r="J78" s="1"/>
      <c r="K78" s="1"/>
      <c r="L78" s="1"/>
      <c r="M78" s="1"/>
      <c r="N78" s="1"/>
      <c r="O78" s="1"/>
      <c r="P78" s="1"/>
      <c r="Q78" s="1"/>
      <c r="R78" s="1"/>
      <c r="S78" s="1"/>
      <c r="T78" s="1"/>
      <c r="U78" s="1"/>
      <c r="V78" s="1"/>
      <c r="W78" s="1"/>
      <c r="X78" s="1"/>
      <c r="AA78" s="419"/>
      <c r="AB78" s="419"/>
      <c r="AC78" s="419"/>
      <c r="AD78" s="419"/>
      <c r="AE78" s="419"/>
      <c r="AF78" s="419"/>
      <c r="AI78" s="444"/>
      <c r="AJ78" s="444"/>
      <c r="AK78" s="444"/>
      <c r="AL78" s="444"/>
    </row>
    <row r="79" spans="1:38" ht="18" customHeight="1" x14ac:dyDescent="0.25">
      <c r="A79" s="1"/>
      <c r="B79" s="5" t="s">
        <v>396</v>
      </c>
      <c r="C79" s="1"/>
      <c r="D79" s="1"/>
      <c r="E79" s="1"/>
      <c r="F79" s="1"/>
      <c r="G79" s="1"/>
      <c r="H79" s="1"/>
      <c r="I79" s="1"/>
      <c r="J79" s="1"/>
      <c r="K79" s="1"/>
      <c r="L79" s="1"/>
      <c r="M79" s="1"/>
      <c r="N79" s="1"/>
      <c r="O79" s="1"/>
      <c r="P79" s="1"/>
      <c r="Q79" s="1"/>
      <c r="R79" s="1"/>
      <c r="S79" s="1"/>
      <c r="T79" s="1"/>
      <c r="U79" s="1"/>
      <c r="V79" s="1"/>
      <c r="W79" s="1"/>
      <c r="X79" s="1"/>
      <c r="AA79" s="419"/>
      <c r="AB79" s="419"/>
      <c r="AC79" s="419"/>
      <c r="AD79" s="419"/>
      <c r="AE79" s="419"/>
      <c r="AF79" s="419"/>
      <c r="AI79" s="444"/>
      <c r="AJ79" s="444"/>
      <c r="AK79" s="444"/>
      <c r="AL79" s="444"/>
    </row>
    <row r="80" spans="1:38" x14ac:dyDescent="0.2">
      <c r="A80" s="1"/>
      <c r="B80" s="1"/>
      <c r="C80" s="1"/>
      <c r="D80" s="1"/>
      <c r="E80" s="1"/>
      <c r="F80" s="1"/>
      <c r="G80" s="1"/>
      <c r="H80" s="1"/>
      <c r="I80" s="1"/>
      <c r="J80" s="1"/>
      <c r="K80" s="1"/>
      <c r="L80" s="1"/>
      <c r="M80" s="1"/>
      <c r="N80" s="1"/>
      <c r="O80" s="1"/>
      <c r="P80" s="1"/>
      <c r="Q80" s="1"/>
      <c r="R80" s="1"/>
      <c r="S80" s="1"/>
      <c r="T80" s="1"/>
      <c r="U80" s="1"/>
      <c r="V80" s="1"/>
      <c r="W80" s="1"/>
      <c r="X80" s="1"/>
      <c r="AA80" s="419"/>
      <c r="AB80" s="419"/>
      <c r="AC80" s="419"/>
      <c r="AD80" s="419"/>
      <c r="AE80" s="419"/>
      <c r="AF80" s="419"/>
      <c r="AI80" s="444"/>
      <c r="AJ80" s="444"/>
      <c r="AK80" s="444"/>
      <c r="AL80" s="444"/>
    </row>
    <row r="81" spans="1:32" ht="33" customHeight="1" x14ac:dyDescent="0.2">
      <c r="A81" s="1"/>
      <c r="B81" s="1"/>
      <c r="C81" s="408" t="s">
        <v>892</v>
      </c>
      <c r="D81" s="408" t="s">
        <v>721</v>
      </c>
      <c r="E81" s="408" t="s">
        <v>722</v>
      </c>
      <c r="F81" s="408" t="s">
        <v>723</v>
      </c>
      <c r="G81" s="408" t="s">
        <v>724</v>
      </c>
      <c r="H81" s="408" t="s">
        <v>725</v>
      </c>
      <c r="I81" s="1"/>
      <c r="J81" s="1"/>
      <c r="K81" s="1"/>
      <c r="L81" s="1"/>
      <c r="M81" s="1"/>
      <c r="N81" s="1"/>
      <c r="O81" s="1"/>
      <c r="P81" s="1"/>
      <c r="Q81" s="1"/>
      <c r="R81" s="1"/>
      <c r="S81" s="1"/>
      <c r="T81" s="1"/>
      <c r="U81" s="1"/>
      <c r="V81" s="1"/>
      <c r="W81" s="1"/>
      <c r="X81" s="1"/>
      <c r="AA81" s="419"/>
      <c r="AB81" s="419"/>
      <c r="AC81" s="419"/>
      <c r="AD81" s="419"/>
      <c r="AE81" s="419"/>
      <c r="AF81" s="419"/>
    </row>
    <row r="82" spans="1:32" x14ac:dyDescent="0.2">
      <c r="A82" s="1"/>
      <c r="B82" s="1" t="s">
        <v>698</v>
      </c>
      <c r="C82" s="409">
        <f t="shared" ref="C82:C87" si="34">C41</f>
        <v>195.2</v>
      </c>
      <c r="D82" s="409">
        <f t="shared" ref="D82:D87" si="35">D54</f>
        <v>90</v>
      </c>
      <c r="E82" s="411">
        <f t="shared" ref="E82:E87" si="36">G16</f>
        <v>838.40000000000009</v>
      </c>
      <c r="F82" s="411">
        <f t="shared" ref="F82:F87" si="37">E82*C82</f>
        <v>163655.68000000002</v>
      </c>
      <c r="G82" s="452">
        <v>0.05</v>
      </c>
      <c r="H82" s="411">
        <f t="shared" ref="H82:H87" si="38">F82*G82*D82/365</f>
        <v>2017.6727671232882</v>
      </c>
      <c r="I82" s="1"/>
      <c r="J82" s="1"/>
      <c r="K82" s="1"/>
      <c r="L82" s="1"/>
      <c r="M82" s="1"/>
      <c r="N82" s="1"/>
      <c r="O82" s="1"/>
      <c r="P82" s="1"/>
      <c r="Q82" s="1"/>
      <c r="R82" s="1"/>
      <c r="S82" s="1"/>
      <c r="T82" s="1"/>
      <c r="U82" s="1"/>
      <c r="V82" s="1"/>
      <c r="W82" s="1"/>
      <c r="X82" s="1"/>
      <c r="AA82" s="419"/>
      <c r="AB82" s="419"/>
      <c r="AC82" s="419"/>
      <c r="AD82" s="419"/>
      <c r="AE82" s="419"/>
      <c r="AF82" s="419"/>
    </row>
    <row r="83" spans="1:32" x14ac:dyDescent="0.2">
      <c r="A83" s="1"/>
      <c r="B83" s="1" t="s">
        <v>699</v>
      </c>
      <c r="C83" s="409">
        <f t="shared" si="34"/>
        <v>0</v>
      </c>
      <c r="D83" s="409">
        <f t="shared" si="35"/>
        <v>0</v>
      </c>
      <c r="E83" s="411">
        <f t="shared" si="36"/>
        <v>0</v>
      </c>
      <c r="F83" s="411">
        <f t="shared" si="37"/>
        <v>0</v>
      </c>
      <c r="G83" s="452">
        <v>0.05</v>
      </c>
      <c r="H83" s="411">
        <f t="shared" si="38"/>
        <v>0</v>
      </c>
      <c r="I83" s="1"/>
      <c r="J83" s="1"/>
      <c r="K83" s="1"/>
      <c r="L83" s="1"/>
      <c r="M83" s="1"/>
      <c r="N83" s="1"/>
      <c r="O83" s="1"/>
      <c r="P83" s="1"/>
      <c r="Q83" s="1"/>
      <c r="R83" s="1"/>
      <c r="S83" s="1"/>
      <c r="T83" s="1"/>
      <c r="U83" s="1"/>
      <c r="V83" s="1"/>
      <c r="W83" s="1"/>
      <c r="X83" s="1"/>
      <c r="AA83" s="419"/>
      <c r="AB83" s="419"/>
      <c r="AC83" s="419"/>
      <c r="AD83" s="419"/>
      <c r="AE83" s="419"/>
      <c r="AF83" s="419"/>
    </row>
    <row r="84" spans="1:32" x14ac:dyDescent="0.2">
      <c r="A84" s="1"/>
      <c r="B84" s="1" t="s">
        <v>700</v>
      </c>
      <c r="C84" s="409">
        <f t="shared" si="34"/>
        <v>0</v>
      </c>
      <c r="D84" s="409">
        <f t="shared" si="35"/>
        <v>0</v>
      </c>
      <c r="E84" s="411">
        <f t="shared" si="36"/>
        <v>0</v>
      </c>
      <c r="F84" s="411">
        <f t="shared" si="37"/>
        <v>0</v>
      </c>
      <c r="G84" s="452">
        <v>0.05</v>
      </c>
      <c r="H84" s="411">
        <f t="shared" si="38"/>
        <v>0</v>
      </c>
      <c r="I84" s="1"/>
      <c r="J84" s="1"/>
      <c r="K84" s="1"/>
      <c r="L84" s="1"/>
      <c r="M84" s="1"/>
      <c r="N84" s="1"/>
      <c r="O84" s="1"/>
      <c r="P84" s="1"/>
      <c r="Q84" s="1"/>
      <c r="R84" s="1"/>
      <c r="S84" s="1"/>
      <c r="T84" s="1"/>
      <c r="U84" s="1"/>
      <c r="V84" s="1"/>
      <c r="W84" s="1"/>
      <c r="X84" s="1"/>
      <c r="AA84" s="419"/>
      <c r="AB84" s="419"/>
      <c r="AC84" s="419"/>
      <c r="AD84" s="419"/>
      <c r="AE84" s="419"/>
      <c r="AF84" s="419"/>
    </row>
    <row r="85" spans="1:32" x14ac:dyDescent="0.2">
      <c r="A85" s="1"/>
      <c r="B85" s="1" t="s">
        <v>701</v>
      </c>
      <c r="C85" s="409">
        <f t="shared" si="34"/>
        <v>0</v>
      </c>
      <c r="D85" s="409">
        <f t="shared" si="35"/>
        <v>0</v>
      </c>
      <c r="E85" s="411">
        <f t="shared" si="36"/>
        <v>0</v>
      </c>
      <c r="F85" s="411">
        <f t="shared" si="37"/>
        <v>0</v>
      </c>
      <c r="G85" s="452">
        <v>0.05</v>
      </c>
      <c r="H85" s="411">
        <f t="shared" si="38"/>
        <v>0</v>
      </c>
      <c r="I85" s="1"/>
      <c r="J85" s="1"/>
      <c r="K85" s="1"/>
      <c r="L85" s="1"/>
      <c r="M85" s="1"/>
      <c r="N85" s="1"/>
      <c r="O85" s="1"/>
      <c r="P85" s="1"/>
      <c r="Q85" s="1"/>
      <c r="R85" s="1"/>
      <c r="S85" s="1"/>
      <c r="T85" s="1"/>
      <c r="U85" s="1"/>
      <c r="V85" s="1"/>
      <c r="W85" s="1"/>
      <c r="X85" s="1"/>
      <c r="AA85" s="419"/>
      <c r="AB85" s="419"/>
      <c r="AC85" s="419"/>
      <c r="AD85" s="419"/>
      <c r="AE85" s="419"/>
      <c r="AF85" s="419"/>
    </row>
    <row r="86" spans="1:32" x14ac:dyDescent="0.2">
      <c r="A86" s="1"/>
      <c r="B86" s="1" t="s">
        <v>702</v>
      </c>
      <c r="C86" s="409">
        <f t="shared" si="34"/>
        <v>0</v>
      </c>
      <c r="D86" s="409">
        <f t="shared" si="35"/>
        <v>0</v>
      </c>
      <c r="E86" s="411">
        <f t="shared" si="36"/>
        <v>0</v>
      </c>
      <c r="F86" s="411">
        <f t="shared" si="37"/>
        <v>0</v>
      </c>
      <c r="G86" s="452">
        <v>0.05</v>
      </c>
      <c r="H86" s="411">
        <f t="shared" si="38"/>
        <v>0</v>
      </c>
      <c r="I86" s="1"/>
      <c r="J86" s="1"/>
      <c r="K86" s="1"/>
      <c r="L86" s="1"/>
      <c r="M86" s="1"/>
      <c r="N86" s="1"/>
      <c r="O86" s="1"/>
      <c r="P86" s="1"/>
      <c r="Q86" s="1"/>
      <c r="R86" s="1"/>
      <c r="S86" s="1"/>
      <c r="T86" s="1"/>
      <c r="U86" s="1"/>
      <c r="V86" s="1"/>
      <c r="W86" s="1"/>
      <c r="X86" s="1"/>
      <c r="AA86" s="419"/>
      <c r="AB86" s="419"/>
      <c r="AC86" s="419"/>
      <c r="AD86" s="419"/>
      <c r="AE86" s="419"/>
      <c r="AF86" s="419"/>
    </row>
    <row r="87" spans="1:32" x14ac:dyDescent="0.2">
      <c r="A87" s="1"/>
      <c r="B87" s="1" t="s">
        <v>703</v>
      </c>
      <c r="C87" s="409">
        <f t="shared" si="34"/>
        <v>0</v>
      </c>
      <c r="D87" s="409">
        <f t="shared" si="35"/>
        <v>0</v>
      </c>
      <c r="E87" s="411">
        <f t="shared" si="36"/>
        <v>0</v>
      </c>
      <c r="F87" s="411">
        <f t="shared" si="37"/>
        <v>0</v>
      </c>
      <c r="G87" s="452">
        <v>0.05</v>
      </c>
      <c r="H87" s="411">
        <f t="shared" si="38"/>
        <v>0</v>
      </c>
      <c r="I87" s="1"/>
      <c r="J87" s="1"/>
      <c r="K87" s="1"/>
      <c r="L87" s="1"/>
      <c r="M87" s="1"/>
      <c r="N87" s="1"/>
      <c r="O87" s="1"/>
      <c r="P87" s="1"/>
      <c r="Q87" s="1"/>
      <c r="R87" s="1"/>
      <c r="S87" s="1"/>
      <c r="T87" s="1"/>
      <c r="U87" s="1"/>
      <c r="V87" s="1"/>
      <c r="W87" s="1"/>
      <c r="X87" s="1"/>
      <c r="AA87" s="419"/>
      <c r="AB87" s="419"/>
      <c r="AC87" s="419"/>
      <c r="AD87" s="419"/>
      <c r="AE87" s="419"/>
      <c r="AF87" s="419"/>
    </row>
    <row r="88" spans="1:32" ht="15.75" thickBot="1" x14ac:dyDescent="0.25">
      <c r="A88" s="1"/>
      <c r="B88" s="1"/>
      <c r="C88" s="1"/>
      <c r="D88" s="1"/>
      <c r="E88" s="1"/>
      <c r="F88" s="1" t="s">
        <v>726</v>
      </c>
      <c r="G88" s="1"/>
      <c r="H88" s="440">
        <f>SUM(H82:H87)</f>
        <v>2017.6727671232882</v>
      </c>
      <c r="I88" s="1"/>
      <c r="J88" s="1"/>
      <c r="K88" s="1"/>
      <c r="L88" s="1"/>
      <c r="M88" s="1"/>
      <c r="N88" s="1"/>
      <c r="O88" s="1"/>
      <c r="P88" s="1"/>
      <c r="Q88" s="1"/>
      <c r="R88" s="1"/>
      <c r="S88" s="1"/>
      <c r="T88" s="1"/>
      <c r="U88" s="1"/>
      <c r="V88" s="1"/>
      <c r="W88" s="1"/>
      <c r="X88" s="1"/>
      <c r="Y88" s="1"/>
      <c r="Z88" s="1"/>
      <c r="AA88" s="6"/>
    </row>
    <row r="89" spans="1:32" ht="15.75" thickTop="1" x14ac:dyDescent="0.2">
      <c r="A89" s="1"/>
      <c r="B89" s="1"/>
      <c r="C89" s="1"/>
      <c r="D89" s="1"/>
      <c r="E89" s="1"/>
      <c r="F89" s="1"/>
      <c r="G89" s="1"/>
      <c r="H89" s="1"/>
      <c r="I89" s="1"/>
      <c r="J89" s="1"/>
      <c r="K89" s="1"/>
      <c r="L89" s="1"/>
      <c r="M89" s="1"/>
      <c r="N89" s="1"/>
      <c r="O89" s="1"/>
      <c r="P89" s="1"/>
      <c r="Q89" s="1"/>
      <c r="R89" s="1"/>
      <c r="S89" s="1"/>
      <c r="T89" s="1"/>
      <c r="U89" s="1"/>
      <c r="V89" s="1"/>
      <c r="W89" s="1"/>
      <c r="X89" s="1"/>
      <c r="Y89" s="1"/>
      <c r="Z89" s="1"/>
      <c r="AA89" s="6"/>
    </row>
    <row r="90" spans="1:32" x14ac:dyDescent="0.2">
      <c r="A90" s="1"/>
      <c r="B90" s="1"/>
      <c r="C90" s="1"/>
      <c r="D90" s="1"/>
      <c r="E90" s="1"/>
      <c r="F90" s="1"/>
      <c r="G90" s="1"/>
      <c r="H90" s="1"/>
      <c r="I90" s="1"/>
      <c r="J90" s="1"/>
      <c r="K90" s="1"/>
      <c r="L90" s="1"/>
      <c r="M90" s="1"/>
      <c r="N90" s="1"/>
      <c r="O90" s="1"/>
      <c r="P90" s="1"/>
      <c r="Q90" s="1"/>
      <c r="R90" s="1"/>
      <c r="S90" s="1"/>
      <c r="T90" s="1"/>
      <c r="U90" s="1"/>
      <c r="V90" s="1"/>
      <c r="W90" s="1"/>
      <c r="X90" s="1"/>
      <c r="Y90" s="1"/>
      <c r="Z90" s="1"/>
      <c r="AA90" s="6"/>
    </row>
    <row r="91" spans="1:32" ht="15.75" x14ac:dyDescent="0.25">
      <c r="A91" s="1"/>
      <c r="B91" s="5" t="s">
        <v>727</v>
      </c>
      <c r="C91" s="1"/>
      <c r="D91" s="1"/>
      <c r="E91" s="1"/>
      <c r="F91" s="1"/>
      <c r="G91" s="1"/>
      <c r="H91" s="1"/>
      <c r="I91" s="1"/>
      <c r="J91" s="1"/>
      <c r="K91" s="1"/>
      <c r="L91" s="1"/>
      <c r="M91" s="1"/>
      <c r="N91" s="1"/>
      <c r="O91" s="1"/>
      <c r="P91" s="1"/>
      <c r="Q91" s="1"/>
      <c r="R91" s="1"/>
      <c r="S91" s="1"/>
      <c r="T91" s="1"/>
      <c r="U91" s="1"/>
      <c r="V91" s="1"/>
      <c r="W91" s="1"/>
      <c r="X91" s="1"/>
      <c r="Y91" s="1"/>
      <c r="Z91" s="1"/>
      <c r="AA91" s="6"/>
    </row>
    <row r="92" spans="1:32" x14ac:dyDescent="0.2">
      <c r="A92" s="1"/>
      <c r="B92" s="1"/>
      <c r="C92" s="1"/>
      <c r="D92" s="1"/>
      <c r="E92" s="1"/>
      <c r="F92" s="1"/>
      <c r="G92" s="1"/>
      <c r="H92" s="1"/>
      <c r="I92" s="1"/>
      <c r="J92" s="1"/>
      <c r="K92" s="1"/>
      <c r="L92" s="1"/>
      <c r="M92" s="1"/>
      <c r="N92" s="1"/>
      <c r="O92" s="1"/>
      <c r="P92" s="1"/>
      <c r="Q92" s="1"/>
      <c r="R92" s="1"/>
      <c r="S92" s="1"/>
      <c r="T92" s="1"/>
      <c r="U92" s="1"/>
      <c r="V92" s="1"/>
      <c r="W92" s="1"/>
      <c r="X92" s="1"/>
      <c r="Y92" s="1"/>
      <c r="Z92" s="1"/>
      <c r="AA92" s="6"/>
    </row>
    <row r="93" spans="1:32" ht="30" x14ac:dyDescent="0.2">
      <c r="A93" s="1"/>
      <c r="B93" s="1"/>
      <c r="C93" s="408" t="s">
        <v>892</v>
      </c>
      <c r="D93" s="408" t="s">
        <v>721</v>
      </c>
      <c r="E93" s="408" t="s">
        <v>728</v>
      </c>
      <c r="F93" s="408" t="s">
        <v>895</v>
      </c>
      <c r="G93" s="408" t="s">
        <v>673</v>
      </c>
      <c r="H93" s="408" t="s">
        <v>731</v>
      </c>
      <c r="I93" s="407" t="s">
        <v>659</v>
      </c>
      <c r="J93" s="407" t="s">
        <v>729</v>
      </c>
      <c r="K93" s="1"/>
      <c r="L93" s="1"/>
      <c r="M93" s="1"/>
      <c r="N93" s="1"/>
      <c r="O93" s="1"/>
      <c r="P93" s="1"/>
      <c r="Q93" s="1"/>
      <c r="R93" s="1"/>
      <c r="S93" s="1"/>
      <c r="T93" s="1"/>
      <c r="U93" s="1"/>
      <c r="V93" s="1"/>
      <c r="W93" s="1"/>
      <c r="X93" s="1"/>
      <c r="Y93" s="1"/>
      <c r="Z93" s="1"/>
      <c r="AA93" s="6"/>
    </row>
    <row r="94" spans="1:32" x14ac:dyDescent="0.2">
      <c r="A94" s="1"/>
      <c r="B94" s="1" t="s">
        <v>698</v>
      </c>
      <c r="C94" s="409">
        <f t="shared" ref="C94:C99" si="39">C41</f>
        <v>195.2</v>
      </c>
      <c r="D94" s="409">
        <f t="shared" ref="D94:D99" si="40">D54</f>
        <v>90</v>
      </c>
      <c r="E94" s="409">
        <f t="shared" ref="E94:E99" si="41">F16</f>
        <v>524</v>
      </c>
      <c r="F94" s="409">
        <f t="shared" ref="F94:F99" si="42">E54</f>
        <v>596</v>
      </c>
      <c r="G94" s="413">
        <f t="shared" ref="G94:G99" si="43">(POWER(((F94+E94)/2),0.75)/97.7)</f>
        <v>1.1782744394283065</v>
      </c>
      <c r="H94" s="413">
        <f t="shared" ref="H94:H99" si="44">D94/365*G94*C94</f>
        <v>56.712124251716396</v>
      </c>
      <c r="I94" s="413">
        <f>IF(D8&lt;=0,0,H94/$D$8)</f>
        <v>0.567121242517164</v>
      </c>
      <c r="J94" s="413">
        <f t="shared" ref="J94:J100" si="45">IF(H94&lt;=0,0,$D$8/H94)</f>
        <v>1.7632913829175336</v>
      </c>
      <c r="K94" s="1"/>
      <c r="L94" s="1"/>
      <c r="M94" s="1"/>
      <c r="N94" s="1"/>
      <c r="O94" s="1"/>
      <c r="P94" s="1"/>
      <c r="Q94" s="1"/>
      <c r="R94" s="1"/>
      <c r="S94" s="1"/>
      <c r="T94" s="1"/>
      <c r="U94" s="1"/>
      <c r="V94" s="1"/>
      <c r="W94" s="1"/>
      <c r="X94" s="1"/>
      <c r="Y94" s="1"/>
      <c r="Z94" s="1"/>
      <c r="AA94" s="6"/>
    </row>
    <row r="95" spans="1:32" x14ac:dyDescent="0.2">
      <c r="A95" s="1"/>
      <c r="B95" s="1" t="s">
        <v>699</v>
      </c>
      <c r="C95" s="409">
        <f t="shared" si="39"/>
        <v>0</v>
      </c>
      <c r="D95" s="409">
        <f t="shared" si="40"/>
        <v>0</v>
      </c>
      <c r="E95" s="409">
        <f t="shared" si="41"/>
        <v>0</v>
      </c>
      <c r="F95" s="409">
        <f t="shared" si="42"/>
        <v>0</v>
      </c>
      <c r="G95" s="413">
        <f t="shared" si="43"/>
        <v>0</v>
      </c>
      <c r="H95" s="413">
        <f t="shared" si="44"/>
        <v>0</v>
      </c>
      <c r="I95" s="413">
        <f>IF(D8&lt;=0,0,H95/$D$8)</f>
        <v>0</v>
      </c>
      <c r="J95" s="413">
        <f t="shared" si="45"/>
        <v>0</v>
      </c>
      <c r="K95" s="1"/>
      <c r="L95" s="1"/>
      <c r="M95" s="1"/>
      <c r="N95" s="1"/>
      <c r="O95" s="1"/>
      <c r="P95" s="1"/>
      <c r="Q95" s="1"/>
      <c r="R95" s="1"/>
      <c r="S95" s="1"/>
      <c r="T95" s="1"/>
      <c r="U95" s="1"/>
      <c r="V95" s="1"/>
      <c r="W95" s="1"/>
      <c r="X95" s="1"/>
      <c r="Y95" s="1"/>
      <c r="Z95" s="1"/>
      <c r="AA95" s="6"/>
    </row>
    <row r="96" spans="1:32" x14ac:dyDescent="0.2">
      <c r="A96" s="1"/>
      <c r="B96" s="1" t="s">
        <v>700</v>
      </c>
      <c r="C96" s="409">
        <f t="shared" si="39"/>
        <v>0</v>
      </c>
      <c r="D96" s="409">
        <f t="shared" si="40"/>
        <v>0</v>
      </c>
      <c r="E96" s="409">
        <f t="shared" si="41"/>
        <v>0</v>
      </c>
      <c r="F96" s="409">
        <f t="shared" si="42"/>
        <v>0</v>
      </c>
      <c r="G96" s="413">
        <f t="shared" si="43"/>
        <v>0</v>
      </c>
      <c r="H96" s="413">
        <f t="shared" si="44"/>
        <v>0</v>
      </c>
      <c r="I96" s="413">
        <f>IF(D8&lt;=0,0,H96/$D$8)</f>
        <v>0</v>
      </c>
      <c r="J96" s="413">
        <f t="shared" si="45"/>
        <v>0</v>
      </c>
      <c r="K96" s="1"/>
      <c r="L96" s="1"/>
      <c r="M96" s="1"/>
      <c r="N96" s="1"/>
      <c r="O96" s="1"/>
      <c r="P96" s="1"/>
      <c r="Q96" s="1"/>
      <c r="R96" s="1"/>
      <c r="S96" s="1"/>
      <c r="T96" s="1"/>
      <c r="U96" s="1"/>
      <c r="V96" s="1"/>
      <c r="W96" s="1"/>
      <c r="X96" s="1"/>
      <c r="Y96" s="1"/>
      <c r="Z96" s="1"/>
      <c r="AA96" s="6"/>
    </row>
    <row r="97" spans="1:44" x14ac:dyDescent="0.2">
      <c r="A97" s="1"/>
      <c r="B97" s="1" t="s">
        <v>701</v>
      </c>
      <c r="C97" s="409">
        <f t="shared" si="39"/>
        <v>0</v>
      </c>
      <c r="D97" s="409">
        <f t="shared" si="40"/>
        <v>0</v>
      </c>
      <c r="E97" s="409">
        <f t="shared" si="41"/>
        <v>0</v>
      </c>
      <c r="F97" s="409">
        <f t="shared" si="42"/>
        <v>0</v>
      </c>
      <c r="G97" s="413">
        <f t="shared" si="43"/>
        <v>0</v>
      </c>
      <c r="H97" s="413">
        <f t="shared" si="44"/>
        <v>0</v>
      </c>
      <c r="I97" s="413">
        <f>IF(D8&lt;=0,0,H97/$D$8)</f>
        <v>0</v>
      </c>
      <c r="J97" s="413">
        <f t="shared" si="45"/>
        <v>0</v>
      </c>
      <c r="K97" s="1"/>
      <c r="L97" s="1"/>
      <c r="M97" s="1"/>
      <c r="N97" s="1"/>
      <c r="O97" s="1"/>
      <c r="P97" s="1"/>
      <c r="Q97" s="1"/>
      <c r="R97" s="1"/>
      <c r="S97" s="1"/>
      <c r="T97" s="1"/>
      <c r="U97" s="1"/>
      <c r="V97" s="1"/>
      <c r="W97" s="1"/>
      <c r="X97" s="1"/>
      <c r="Y97" s="1"/>
      <c r="Z97" s="1"/>
      <c r="AA97" s="6"/>
    </row>
    <row r="98" spans="1:44" x14ac:dyDescent="0.2">
      <c r="A98" s="1"/>
      <c r="B98" s="1" t="s">
        <v>702</v>
      </c>
      <c r="C98" s="409">
        <f t="shared" si="39"/>
        <v>0</v>
      </c>
      <c r="D98" s="409">
        <f t="shared" si="40"/>
        <v>0</v>
      </c>
      <c r="E98" s="409">
        <f t="shared" si="41"/>
        <v>0</v>
      </c>
      <c r="F98" s="409">
        <f t="shared" si="42"/>
        <v>0</v>
      </c>
      <c r="G98" s="413">
        <f t="shared" si="43"/>
        <v>0</v>
      </c>
      <c r="H98" s="413">
        <f t="shared" si="44"/>
        <v>0</v>
      </c>
      <c r="I98" s="413">
        <f>IF(D8&lt;=0,0,H98/$D$8)</f>
        <v>0</v>
      </c>
      <c r="J98" s="413">
        <f t="shared" si="45"/>
        <v>0</v>
      </c>
      <c r="K98" s="1"/>
      <c r="L98" s="1"/>
      <c r="M98" s="1"/>
      <c r="N98" s="1"/>
      <c r="O98" s="1"/>
      <c r="P98" s="1"/>
      <c r="Q98" s="1"/>
      <c r="R98" s="1"/>
      <c r="S98" s="1"/>
      <c r="T98" s="1"/>
      <c r="U98" s="1"/>
      <c r="V98" s="1"/>
      <c r="W98" s="1"/>
      <c r="X98" s="1"/>
      <c r="Y98" s="1"/>
      <c r="Z98" s="1"/>
      <c r="AA98" s="6"/>
    </row>
    <row r="99" spans="1:44" x14ac:dyDescent="0.2">
      <c r="A99" s="1"/>
      <c r="B99" s="1" t="s">
        <v>703</v>
      </c>
      <c r="C99" s="409">
        <f t="shared" si="39"/>
        <v>0</v>
      </c>
      <c r="D99" s="409">
        <f t="shared" si="40"/>
        <v>0</v>
      </c>
      <c r="E99" s="409">
        <f t="shared" si="41"/>
        <v>0</v>
      </c>
      <c r="F99" s="409">
        <f t="shared" si="42"/>
        <v>0</v>
      </c>
      <c r="G99" s="413">
        <f t="shared" si="43"/>
        <v>0</v>
      </c>
      <c r="H99" s="413">
        <f t="shared" si="44"/>
        <v>0</v>
      </c>
      <c r="I99" s="413">
        <f>IF(D8&lt;=0,0,H99/$D$8)</f>
        <v>0</v>
      </c>
      <c r="J99" s="413">
        <f t="shared" si="45"/>
        <v>0</v>
      </c>
      <c r="K99" s="1"/>
      <c r="L99" s="1"/>
      <c r="M99" s="1"/>
      <c r="N99" s="1"/>
      <c r="O99" s="1"/>
      <c r="P99" s="1"/>
      <c r="Q99" s="1"/>
      <c r="R99" s="1"/>
      <c r="S99" s="1"/>
      <c r="T99" s="1"/>
      <c r="U99" s="1"/>
      <c r="V99" s="1"/>
      <c r="W99" s="1"/>
      <c r="X99" s="1"/>
      <c r="Y99" s="1"/>
      <c r="Z99" s="1"/>
      <c r="AA99" s="6"/>
    </row>
    <row r="100" spans="1:44" x14ac:dyDescent="0.2">
      <c r="A100" s="1"/>
      <c r="B100" s="1"/>
      <c r="C100" s="1"/>
      <c r="D100" s="1"/>
      <c r="E100" s="1"/>
      <c r="F100" s="1"/>
      <c r="G100" s="1" t="s">
        <v>730</v>
      </c>
      <c r="H100" s="453">
        <f>SUM(H94:H99)</f>
        <v>56.712124251716396</v>
      </c>
      <c r="I100" s="418">
        <f>IF(D8&lt;=0,0,H100/$D$8)</f>
        <v>0.567121242517164</v>
      </c>
      <c r="J100" s="418">
        <f t="shared" si="45"/>
        <v>1.7632913829175336</v>
      </c>
      <c r="K100" s="1"/>
      <c r="L100" s="1"/>
      <c r="M100" s="1"/>
      <c r="N100" s="1"/>
      <c r="O100" s="1"/>
      <c r="P100" s="1"/>
      <c r="Q100" s="1"/>
      <c r="R100" s="1"/>
      <c r="S100" s="1"/>
      <c r="T100" s="1"/>
      <c r="U100" s="1"/>
      <c r="V100" s="1"/>
      <c r="W100" s="1"/>
      <c r="X100" s="1"/>
      <c r="Y100" s="1"/>
      <c r="Z100" s="1"/>
      <c r="AA100" s="6"/>
    </row>
    <row r="101" spans="1:44"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6"/>
    </row>
    <row r="102" spans="1:44" x14ac:dyDescent="0.2">
      <c r="A102" s="1"/>
      <c r="B102" s="1"/>
      <c r="C102" s="1"/>
      <c r="D102" s="1"/>
      <c r="E102" s="1"/>
      <c r="F102" s="1"/>
      <c r="G102" s="1"/>
      <c r="H102" s="1"/>
      <c r="I102" s="1"/>
      <c r="J102" s="1"/>
      <c r="K102" s="1"/>
      <c r="L102" s="1"/>
      <c r="M102" s="1"/>
      <c r="N102" s="1"/>
      <c r="O102" s="1"/>
      <c r="P102" s="1"/>
      <c r="Q102" s="1"/>
      <c r="R102" s="1" t="s">
        <v>788</v>
      </c>
      <c r="S102" s="1"/>
      <c r="T102" s="1"/>
      <c r="U102" s="1"/>
      <c r="W102" s="1"/>
      <c r="X102" s="1"/>
      <c r="Y102" s="1" t="s">
        <v>789</v>
      </c>
      <c r="Z102" s="1"/>
      <c r="AA102" s="6"/>
    </row>
    <row r="103" spans="1:44"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6"/>
    </row>
    <row r="104" spans="1:44"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6"/>
    </row>
    <row r="105" spans="1:44" ht="15.75" x14ac:dyDescent="0.25">
      <c r="A105" s="1"/>
      <c r="B105" s="446" t="s">
        <v>397</v>
      </c>
      <c r="C105" s="1"/>
      <c r="D105" s="1"/>
      <c r="E105" s="1"/>
      <c r="F105" s="1"/>
      <c r="G105" s="1"/>
      <c r="H105" s="1"/>
      <c r="I105" s="1"/>
      <c r="J105" s="1"/>
      <c r="K105" s="1"/>
      <c r="L105" s="1"/>
      <c r="M105" s="1"/>
      <c r="N105" s="1"/>
      <c r="O105" s="1"/>
      <c r="P105" s="1"/>
      <c r="Q105" s="1"/>
      <c r="R105" s="1"/>
      <c r="S105" s="1"/>
      <c r="T105" s="1"/>
      <c r="U105" s="1"/>
      <c r="V105" s="1"/>
      <c r="W105" s="1"/>
      <c r="X105" s="1"/>
      <c r="Y105" s="1"/>
      <c r="Z105" s="1"/>
      <c r="AA105" s="6"/>
    </row>
    <row r="106" spans="1:44" x14ac:dyDescent="0.2">
      <c r="A106" s="1"/>
      <c r="B106" s="1"/>
      <c r="C106" s="1"/>
      <c r="D106" s="1"/>
      <c r="E106" s="1"/>
      <c r="F106" s="1"/>
      <c r="G106" s="1"/>
      <c r="H106" s="1"/>
      <c r="I106" s="1"/>
      <c r="J106" s="1"/>
      <c r="K106" s="1"/>
      <c r="L106" s="1"/>
      <c r="M106" s="1"/>
      <c r="N106" s="1"/>
      <c r="O106" s="1"/>
      <c r="P106" s="1"/>
      <c r="Q106" s="1"/>
    </row>
    <row r="107" spans="1:44" ht="15.75" x14ac:dyDescent="0.25">
      <c r="C107" s="446" t="s">
        <v>620</v>
      </c>
      <c r="D107" s="1" t="s">
        <v>398</v>
      </c>
      <c r="E107" s="1"/>
      <c r="F107" s="1"/>
      <c r="G107" s="1"/>
      <c r="H107" s="1"/>
      <c r="I107" s="1"/>
      <c r="J107" s="1"/>
      <c r="L107" s="446" t="s">
        <v>582</v>
      </c>
      <c r="N107" s="446" t="s">
        <v>620</v>
      </c>
      <c r="O107" s="1"/>
      <c r="P107" s="1"/>
      <c r="Q107" s="1"/>
      <c r="R107" s="1"/>
      <c r="S107" s="1"/>
      <c r="T107" s="1"/>
      <c r="U107" s="1"/>
      <c r="Y107" s="446" t="s">
        <v>795</v>
      </c>
      <c r="Z107" s="446" t="s">
        <v>393</v>
      </c>
      <c r="AA107" s="6"/>
      <c r="AB107" s="6"/>
      <c r="AC107" s="6"/>
      <c r="AD107" s="6"/>
      <c r="AE107" s="6"/>
      <c r="AF107" s="6"/>
      <c r="AG107" s="1"/>
      <c r="AI107" s="446" t="s">
        <v>582</v>
      </c>
      <c r="AJ107" s="446" t="s">
        <v>393</v>
      </c>
      <c r="AL107" s="1"/>
      <c r="AM107" s="1"/>
      <c r="AN107" s="1"/>
      <c r="AO107" s="1"/>
      <c r="AP107" s="1"/>
      <c r="AQ107" s="1"/>
      <c r="AR107" s="1"/>
    </row>
    <row r="108" spans="1:44" x14ac:dyDescent="0.2">
      <c r="B108" s="65"/>
      <c r="C108" s="1"/>
      <c r="D108" s="14"/>
      <c r="E108" s="14"/>
      <c r="F108" s="14"/>
      <c r="G108" s="14"/>
      <c r="H108" s="14"/>
      <c r="I108" s="14"/>
      <c r="J108" s="14"/>
      <c r="L108" s="65"/>
      <c r="M108" s="1"/>
      <c r="N108" s="14"/>
      <c r="O108" s="14"/>
      <c r="P108" s="14"/>
      <c r="Q108" s="14"/>
      <c r="R108" s="14"/>
      <c r="S108" s="14"/>
      <c r="T108" s="14"/>
      <c r="U108" s="14"/>
      <c r="Y108" s="65"/>
      <c r="Z108" s="1"/>
      <c r="AA108" s="6"/>
      <c r="AB108" s="6"/>
      <c r="AC108" s="6"/>
      <c r="AD108" s="6"/>
      <c r="AE108" s="6"/>
      <c r="AF108" s="6"/>
      <c r="AG108" s="14"/>
      <c r="AI108" s="65"/>
      <c r="AJ108" s="1"/>
      <c r="AK108" s="14"/>
      <c r="AL108" s="14"/>
      <c r="AM108" s="14"/>
      <c r="AN108" s="14"/>
      <c r="AO108" s="14"/>
      <c r="AP108" s="14"/>
      <c r="AQ108" s="14"/>
      <c r="AR108" s="14"/>
    </row>
    <row r="109" spans="1:44" ht="15.75" x14ac:dyDescent="0.25">
      <c r="B109" s="482" t="s">
        <v>994</v>
      </c>
      <c r="C109" s="483" t="s">
        <v>583</v>
      </c>
      <c r="D109" s="484" t="s">
        <v>616</v>
      </c>
      <c r="E109" s="482" t="s">
        <v>619</v>
      </c>
      <c r="F109" s="485" t="s">
        <v>617</v>
      </c>
      <c r="G109" s="485" t="s">
        <v>245</v>
      </c>
      <c r="H109" s="486" t="s">
        <v>489</v>
      </c>
      <c r="I109" s="486" t="s">
        <v>490</v>
      </c>
      <c r="L109" s="482" t="s">
        <v>994</v>
      </c>
      <c r="M109" s="483" t="s">
        <v>583</v>
      </c>
      <c r="N109" s="484" t="s">
        <v>616</v>
      </c>
      <c r="O109" s="482" t="s">
        <v>619</v>
      </c>
      <c r="P109" s="485" t="s">
        <v>617</v>
      </c>
      <c r="Q109" s="482"/>
      <c r="R109" s="485" t="s">
        <v>245</v>
      </c>
      <c r="S109" s="487" t="s">
        <v>489</v>
      </c>
      <c r="T109" s="487" t="s">
        <v>490</v>
      </c>
      <c r="U109" s="1"/>
      <c r="Y109" s="488" t="s">
        <v>994</v>
      </c>
      <c r="Z109" s="94" t="s">
        <v>583</v>
      </c>
      <c r="AA109" s="488" t="s">
        <v>616</v>
      </c>
      <c r="AB109" s="488" t="s">
        <v>619</v>
      </c>
      <c r="AC109" s="488" t="s">
        <v>617</v>
      </c>
      <c r="AD109" s="488" t="s">
        <v>618</v>
      </c>
      <c r="AE109" s="489" t="s">
        <v>489</v>
      </c>
      <c r="AF109" s="489" t="s">
        <v>490</v>
      </c>
      <c r="AI109" s="488" t="s">
        <v>994</v>
      </c>
      <c r="AJ109" s="94" t="s">
        <v>583</v>
      </c>
      <c r="AK109" s="490" t="s">
        <v>616</v>
      </c>
      <c r="AL109" s="488" t="s">
        <v>619</v>
      </c>
      <c r="AM109" s="74" t="s">
        <v>617</v>
      </c>
      <c r="AN109" s="488"/>
      <c r="AO109" s="74" t="s">
        <v>618</v>
      </c>
      <c r="AP109" s="72" t="s">
        <v>489</v>
      </c>
      <c r="AQ109" s="72" t="s">
        <v>490</v>
      </c>
      <c r="AR109" s="1"/>
    </row>
    <row r="110" spans="1:44" ht="15.75" x14ac:dyDescent="0.25">
      <c r="B110" s="305">
        <v>347</v>
      </c>
      <c r="C110" s="491" t="str">
        <f>IF(B110&lt;=0,"",VLOOKUP(B110,Treatments!$C$7:$J$407,2))</f>
        <v>Chisel plough</v>
      </c>
      <c r="D110" s="306">
        <v>1</v>
      </c>
      <c r="E110" s="433">
        <f>VLOOKUP(B110,Treatments!$C$7:$J$407,8)</f>
        <v>30.257142857142856</v>
      </c>
      <c r="F110" s="305">
        <v>1</v>
      </c>
      <c r="G110" s="308">
        <v>1</v>
      </c>
      <c r="H110" s="433">
        <f>D110*E110*F110*G110</f>
        <v>30.257142857142856</v>
      </c>
      <c r="I110" s="411">
        <f>H110*$D$9</f>
        <v>2723.1428571428569</v>
      </c>
      <c r="L110" s="305"/>
      <c r="M110" s="491" t="str">
        <f>VLOOKUP(L110,Treatments!$C$7:$J$407,2)</f>
        <v>No treatment</v>
      </c>
      <c r="N110" s="306"/>
      <c r="O110" s="433">
        <f>VLOOKUP(L110,Treatments!$C$7:$J$407,8)</f>
        <v>0</v>
      </c>
      <c r="P110" s="305"/>
      <c r="Q110" s="494"/>
      <c r="R110" s="493"/>
      <c r="S110" s="433">
        <f t="shared" ref="S110:S115" si="46">N110*O110*P110*R110</f>
        <v>0</v>
      </c>
      <c r="T110" s="411">
        <f t="shared" ref="T110:T115" si="47">S110*$D$9</f>
        <v>0</v>
      </c>
      <c r="U110" s="1"/>
      <c r="Y110" s="447">
        <f>IF(AND(B110&gt;=344,B110&lt;=358),B110+15,B110)</f>
        <v>362</v>
      </c>
      <c r="Z110" s="491" t="str">
        <f>VLOOKUP(Y110,Treatments!$C$7:$J$407,2)</f>
        <v>Chisel plough</v>
      </c>
      <c r="AA110" s="495">
        <f>D110</f>
        <v>1</v>
      </c>
      <c r="AB110" s="433">
        <f>VLOOKUP(Y110,Treatments!$C$7:$J$407,8)</f>
        <v>56.462857142857146</v>
      </c>
      <c r="AC110" s="495">
        <f>F110</f>
        <v>1</v>
      </c>
      <c r="AD110" s="496">
        <f>G110</f>
        <v>1</v>
      </c>
      <c r="AE110" s="433">
        <f>AA110*AB110*AC110*AD110</f>
        <v>56.462857142857146</v>
      </c>
      <c r="AF110" s="411">
        <f t="shared" ref="AF110:AF124" si="48">AE110*$D$9</f>
        <v>5081.6571428571433</v>
      </c>
      <c r="AI110" s="447">
        <f t="shared" ref="AI110:AI115" si="49">IF(AND(L110&gt;=344,L110&lt;=358),L110+15,L110)</f>
        <v>0</v>
      </c>
      <c r="AJ110" s="491" t="str">
        <f>VLOOKUP(AI110,Treatments!$C$7:$J$407,2)</f>
        <v>No treatment</v>
      </c>
      <c r="AK110" s="495">
        <f t="shared" ref="AK110:AK115" si="50">N110</f>
        <v>0</v>
      </c>
      <c r="AL110" s="433">
        <f>VLOOKUP(AI110,Treatments!$C$7:$J$407,8)</f>
        <v>0</v>
      </c>
      <c r="AM110" s="495">
        <f t="shared" ref="AM110:AM115" si="51">P110</f>
        <v>0</v>
      </c>
      <c r="AN110" s="494"/>
      <c r="AO110" s="496">
        <f t="shared" ref="AO110:AO115" si="52">R110</f>
        <v>0</v>
      </c>
      <c r="AP110" s="433">
        <f t="shared" ref="AP110:AP115" si="53">AK110*AL110*AM110*AO110</f>
        <v>0</v>
      </c>
      <c r="AQ110" s="411">
        <f t="shared" ref="AQ110:AQ115" si="54">AP110*$D$9</f>
        <v>0</v>
      </c>
      <c r="AR110" s="1"/>
    </row>
    <row r="111" spans="1:44" ht="15.75" x14ac:dyDescent="0.25">
      <c r="B111" s="305">
        <v>346</v>
      </c>
      <c r="C111" s="491" t="str">
        <f>IF(B111&lt;=0,"",VLOOKUP(B111,Treatments!$C$7:$J$407,2))</f>
        <v>Tyne cultivator</v>
      </c>
      <c r="D111" s="306">
        <v>1</v>
      </c>
      <c r="E111" s="433">
        <f>VLOOKUP(B111,Treatments!$C$7:$J$407,8)</f>
        <v>16.225000000000001</v>
      </c>
      <c r="F111" s="305">
        <v>1</v>
      </c>
      <c r="G111" s="308">
        <v>1</v>
      </c>
      <c r="H111" s="433">
        <f>D111*E111*F111*G111</f>
        <v>16.225000000000001</v>
      </c>
      <c r="I111" s="411">
        <f t="shared" ref="I111:I124" si="55">H111*$D$9</f>
        <v>1460.2500000000002</v>
      </c>
      <c r="L111" s="305"/>
      <c r="M111" s="491" t="str">
        <f>VLOOKUP(L111,Treatments!$C$7:$J$407,2)</f>
        <v>No treatment</v>
      </c>
      <c r="N111" s="306"/>
      <c r="O111" s="433">
        <f>VLOOKUP(L111,Treatments!$C$7:$J$407,8)</f>
        <v>0</v>
      </c>
      <c r="P111" s="305"/>
      <c r="Q111" s="497"/>
      <c r="R111" s="493"/>
      <c r="S111" s="433">
        <f t="shared" si="46"/>
        <v>0</v>
      </c>
      <c r="T111" s="411">
        <f t="shared" si="47"/>
        <v>0</v>
      </c>
      <c r="U111" s="1"/>
      <c r="Y111" s="447">
        <f t="shared" ref="Y111:Y124" si="56">IF(AND(B111&gt;=344,B111&lt;=358),B111+15,B111)</f>
        <v>361</v>
      </c>
      <c r="Z111" s="491" t="str">
        <f>VLOOKUP(Y111,Treatments!$C$7:$J$407,2)</f>
        <v>Tyne cultivator</v>
      </c>
      <c r="AA111" s="495">
        <f t="shared" ref="AA111:AA124" si="57">D111</f>
        <v>1</v>
      </c>
      <c r="AB111" s="433">
        <f>VLOOKUP(Y111,Treatments!$C$7:$J$407,8)</f>
        <v>35.095000000000006</v>
      </c>
      <c r="AC111" s="495">
        <f t="shared" ref="AC111:AD124" si="58">F111</f>
        <v>1</v>
      </c>
      <c r="AD111" s="496">
        <f t="shared" si="58"/>
        <v>1</v>
      </c>
      <c r="AE111" s="433">
        <f>AA111*AB111*AC111*AD111</f>
        <v>35.095000000000006</v>
      </c>
      <c r="AF111" s="411">
        <f t="shared" si="48"/>
        <v>3158.5500000000006</v>
      </c>
      <c r="AI111" s="447">
        <f t="shared" si="49"/>
        <v>0</v>
      </c>
      <c r="AJ111" s="491" t="str">
        <f>VLOOKUP(AI111,Treatments!$C$7:$J$407,2)</f>
        <v>No treatment</v>
      </c>
      <c r="AK111" s="495">
        <f t="shared" si="50"/>
        <v>0</v>
      </c>
      <c r="AL111" s="433">
        <f>VLOOKUP(AI111,Treatments!$C$7:$J$407,8)</f>
        <v>0</v>
      </c>
      <c r="AM111" s="495">
        <f t="shared" si="51"/>
        <v>0</v>
      </c>
      <c r="AN111" s="497"/>
      <c r="AO111" s="496">
        <f t="shared" si="52"/>
        <v>0</v>
      </c>
      <c r="AP111" s="433">
        <f t="shared" si="53"/>
        <v>0</v>
      </c>
      <c r="AQ111" s="411">
        <f t="shared" si="54"/>
        <v>0</v>
      </c>
      <c r="AR111" s="1"/>
    </row>
    <row r="112" spans="1:44" ht="15.75" x14ac:dyDescent="0.25">
      <c r="B112" s="305">
        <v>344</v>
      </c>
      <c r="C112" s="491" t="str">
        <f>IF(B112&lt;=0,"",VLOOKUP(B112,Treatments!$C$7:$J$407,2))</f>
        <v>Linkage spray rig</v>
      </c>
      <c r="D112" s="306">
        <v>1</v>
      </c>
      <c r="E112" s="433">
        <f>VLOOKUP(B112,Treatments!$C$7:$J$407,8)</f>
        <v>3.3779411764705882</v>
      </c>
      <c r="F112" s="305">
        <v>2</v>
      </c>
      <c r="G112" s="308">
        <v>1</v>
      </c>
      <c r="H112" s="433">
        <f t="shared" ref="H112:H122" si="59">D112*E112*F112*G112</f>
        <v>6.7558823529411764</v>
      </c>
      <c r="I112" s="411">
        <f t="shared" si="55"/>
        <v>608.02941176470586</v>
      </c>
      <c r="L112" s="305"/>
      <c r="M112" s="491" t="str">
        <f>VLOOKUP(L112,Treatments!$C$7:$J$407,2)</f>
        <v>No treatment</v>
      </c>
      <c r="N112" s="306"/>
      <c r="O112" s="433">
        <f>VLOOKUP(L112,Treatments!$C$7:$J$407,8)</f>
        <v>0</v>
      </c>
      <c r="P112" s="305"/>
      <c r="Q112" s="160"/>
      <c r="R112" s="493"/>
      <c r="S112" s="433">
        <f t="shared" si="46"/>
        <v>0</v>
      </c>
      <c r="T112" s="411">
        <f t="shared" si="47"/>
        <v>0</v>
      </c>
      <c r="U112" s="1"/>
      <c r="Y112" s="447">
        <f t="shared" si="56"/>
        <v>359</v>
      </c>
      <c r="Z112" s="491" t="str">
        <f>VLOOKUP(Y112,Treatments!$C$7:$J$407,2)</f>
        <v>Linkage spray rig</v>
      </c>
      <c r="AA112" s="495">
        <f t="shared" si="57"/>
        <v>1</v>
      </c>
      <c r="AB112" s="433">
        <f>VLOOKUP(Y112,Treatments!$C$7:$J$407,8)</f>
        <v>8.01</v>
      </c>
      <c r="AC112" s="495">
        <f t="shared" si="58"/>
        <v>2</v>
      </c>
      <c r="AD112" s="496">
        <f t="shared" si="58"/>
        <v>1</v>
      </c>
      <c r="AE112" s="433">
        <f t="shared" ref="AE112:AE122" si="60">AA112*AB112*AC112*AD112</f>
        <v>16.02</v>
      </c>
      <c r="AF112" s="411">
        <f t="shared" si="48"/>
        <v>1441.8</v>
      </c>
      <c r="AI112" s="447">
        <f t="shared" si="49"/>
        <v>0</v>
      </c>
      <c r="AJ112" s="491" t="str">
        <f>VLOOKUP(AI112,Treatments!$C$7:$J$407,2)</f>
        <v>No treatment</v>
      </c>
      <c r="AK112" s="495">
        <f t="shared" si="50"/>
        <v>0</v>
      </c>
      <c r="AL112" s="433">
        <f>VLOOKUP(AI112,Treatments!$C$7:$J$407,8)</f>
        <v>0</v>
      </c>
      <c r="AM112" s="495">
        <f t="shared" si="51"/>
        <v>0</v>
      </c>
      <c r="AN112" s="160"/>
      <c r="AO112" s="496">
        <f t="shared" si="52"/>
        <v>0</v>
      </c>
      <c r="AP112" s="433">
        <f t="shared" si="53"/>
        <v>0</v>
      </c>
      <c r="AQ112" s="411">
        <f t="shared" si="54"/>
        <v>0</v>
      </c>
      <c r="AR112" s="1"/>
    </row>
    <row r="113" spans="2:44" ht="15.75" x14ac:dyDescent="0.25">
      <c r="B113" s="305"/>
      <c r="C113" s="491" t="str">
        <f>IF(B113&lt;=0,"",VLOOKUP(B113,Treatments!$C$7:$J$407,2))</f>
        <v/>
      </c>
      <c r="D113" s="306"/>
      <c r="E113" s="433">
        <f>VLOOKUP(B113,Treatments!$C$7:$J$407,8)</f>
        <v>0</v>
      </c>
      <c r="F113" s="305"/>
      <c r="G113" s="308"/>
      <c r="H113" s="433">
        <f t="shared" si="59"/>
        <v>0</v>
      </c>
      <c r="I113" s="411">
        <f t="shared" si="55"/>
        <v>0</v>
      </c>
      <c r="L113" s="305"/>
      <c r="M113" s="491" t="str">
        <f>VLOOKUP(L113,Treatments!$C$7:$J$407,2)</f>
        <v>No treatment</v>
      </c>
      <c r="N113" s="306"/>
      <c r="O113" s="433">
        <f>VLOOKUP(L113,Treatments!$C$7:$J$407,8)</f>
        <v>0</v>
      </c>
      <c r="P113" s="305"/>
      <c r="Q113" s="498"/>
      <c r="R113" s="493"/>
      <c r="S113" s="433">
        <f t="shared" si="46"/>
        <v>0</v>
      </c>
      <c r="T113" s="411">
        <f t="shared" si="47"/>
        <v>0</v>
      </c>
      <c r="U113" s="1"/>
      <c r="Y113" s="447">
        <f t="shared" si="56"/>
        <v>0</v>
      </c>
      <c r="Z113" s="491" t="str">
        <f>VLOOKUP(Y113,Treatments!$C$7:$J$407,2)</f>
        <v>No treatment</v>
      </c>
      <c r="AA113" s="495">
        <f t="shared" si="57"/>
        <v>0</v>
      </c>
      <c r="AB113" s="433">
        <f>VLOOKUP(Y113,Treatments!$C$7:$J$407,8)</f>
        <v>0</v>
      </c>
      <c r="AC113" s="495">
        <f t="shared" si="58"/>
        <v>0</v>
      </c>
      <c r="AD113" s="496">
        <f t="shared" si="58"/>
        <v>0</v>
      </c>
      <c r="AE113" s="433">
        <f t="shared" si="60"/>
        <v>0</v>
      </c>
      <c r="AF113" s="411">
        <f t="shared" si="48"/>
        <v>0</v>
      </c>
      <c r="AI113" s="447">
        <f t="shared" si="49"/>
        <v>0</v>
      </c>
      <c r="AJ113" s="491" t="str">
        <f>VLOOKUP(AI113,Treatments!$C$7:$J$407,2)</f>
        <v>No treatment</v>
      </c>
      <c r="AK113" s="495">
        <f t="shared" si="50"/>
        <v>0</v>
      </c>
      <c r="AL113" s="433">
        <f>VLOOKUP(AI113,Treatments!$C$7:$J$407,8)</f>
        <v>0</v>
      </c>
      <c r="AM113" s="495">
        <f t="shared" si="51"/>
        <v>0</v>
      </c>
      <c r="AN113" s="498"/>
      <c r="AO113" s="496">
        <f t="shared" si="52"/>
        <v>0</v>
      </c>
      <c r="AP113" s="433">
        <f t="shared" si="53"/>
        <v>0</v>
      </c>
      <c r="AQ113" s="411">
        <f t="shared" si="54"/>
        <v>0</v>
      </c>
      <c r="AR113" s="1"/>
    </row>
    <row r="114" spans="2:44" ht="15.75" x14ac:dyDescent="0.25">
      <c r="B114" s="305">
        <v>127</v>
      </c>
      <c r="C114" s="491" t="str">
        <f>IF(B114&lt;=0,"",VLOOKUP(B114,Treatments!$C$7:$J$407,2))</f>
        <v>Amicide 625</v>
      </c>
      <c r="D114" s="306">
        <v>0.75</v>
      </c>
      <c r="E114" s="433">
        <f>VLOOKUP(B114,Treatments!$C$7:$J$407,8)</f>
        <v>6.82</v>
      </c>
      <c r="F114" s="305">
        <v>2</v>
      </c>
      <c r="G114" s="308">
        <v>1</v>
      </c>
      <c r="H114" s="433">
        <f t="shared" si="59"/>
        <v>10.23</v>
      </c>
      <c r="I114" s="411">
        <f t="shared" si="55"/>
        <v>920.7</v>
      </c>
      <c r="L114" s="435"/>
      <c r="M114" s="491" t="str">
        <f>VLOOKUP(L114,Treatments!$C$7:$J$407,2)</f>
        <v>No treatment</v>
      </c>
      <c r="N114" s="492"/>
      <c r="O114" s="433">
        <f>VLOOKUP(L114,Treatments!$C$7:$J$407,8)</f>
        <v>0</v>
      </c>
      <c r="P114" s="435"/>
      <c r="Q114" s="498"/>
      <c r="R114" s="493"/>
      <c r="S114" s="433">
        <f t="shared" si="46"/>
        <v>0</v>
      </c>
      <c r="T114" s="411">
        <f t="shared" si="47"/>
        <v>0</v>
      </c>
      <c r="U114" s="1"/>
      <c r="Y114" s="447">
        <f t="shared" si="56"/>
        <v>127</v>
      </c>
      <c r="Z114" s="491" t="str">
        <f>VLOOKUP(Y114,Treatments!$C$7:$J$407,2)</f>
        <v>Amicide 625</v>
      </c>
      <c r="AA114" s="495">
        <f t="shared" si="57"/>
        <v>0.75</v>
      </c>
      <c r="AB114" s="433">
        <f>VLOOKUP(Y114,Treatments!$C$7:$J$407,8)</f>
        <v>6.82</v>
      </c>
      <c r="AC114" s="495">
        <f t="shared" si="58"/>
        <v>2</v>
      </c>
      <c r="AD114" s="496">
        <f t="shared" si="58"/>
        <v>1</v>
      </c>
      <c r="AE114" s="433">
        <f t="shared" si="60"/>
        <v>10.23</v>
      </c>
      <c r="AF114" s="411">
        <f t="shared" si="48"/>
        <v>920.7</v>
      </c>
      <c r="AI114" s="447">
        <f t="shared" si="49"/>
        <v>0</v>
      </c>
      <c r="AJ114" s="491" t="str">
        <f>VLOOKUP(AI114,Treatments!$C$7:$J$407,2)</f>
        <v>No treatment</v>
      </c>
      <c r="AK114" s="495">
        <f t="shared" si="50"/>
        <v>0</v>
      </c>
      <c r="AL114" s="433">
        <f>VLOOKUP(AI114,Treatments!$C$7:$J$407,8)</f>
        <v>0</v>
      </c>
      <c r="AM114" s="495">
        <f t="shared" si="51"/>
        <v>0</v>
      </c>
      <c r="AN114" s="498"/>
      <c r="AO114" s="496">
        <f t="shared" si="52"/>
        <v>0</v>
      </c>
      <c r="AP114" s="433">
        <f t="shared" si="53"/>
        <v>0</v>
      </c>
      <c r="AQ114" s="411">
        <f t="shared" si="54"/>
        <v>0</v>
      </c>
      <c r="AR114" s="1"/>
    </row>
    <row r="115" spans="2:44" ht="15.75" x14ac:dyDescent="0.25">
      <c r="B115" s="305">
        <v>150</v>
      </c>
      <c r="C115" s="491" t="str">
        <f>IF(B115&lt;=0,"",VLOOKUP(B115,Treatments!$C$7:$J$407,2))</f>
        <v>Glyphosate 450 CT</v>
      </c>
      <c r="D115" s="306">
        <v>1.5</v>
      </c>
      <c r="E115" s="433">
        <f>VLOOKUP(B115,Treatments!$C$7:$J$407,8)</f>
        <v>4.6360000000000001</v>
      </c>
      <c r="F115" s="305">
        <v>2</v>
      </c>
      <c r="G115" s="308">
        <v>1</v>
      </c>
      <c r="H115" s="433">
        <f t="shared" si="59"/>
        <v>13.908000000000001</v>
      </c>
      <c r="I115" s="411">
        <f t="shared" si="55"/>
        <v>1251.72</v>
      </c>
      <c r="L115" s="435"/>
      <c r="M115" s="491" t="str">
        <f>VLOOKUP(L115,Treatments!$C$7:$J$407,2)</f>
        <v>No treatment</v>
      </c>
      <c r="N115" s="492"/>
      <c r="O115" s="433">
        <f>VLOOKUP(L115,Treatments!$C$7:$J$407,8)</f>
        <v>0</v>
      </c>
      <c r="P115" s="435"/>
      <c r="Q115" s="498"/>
      <c r="R115" s="493"/>
      <c r="S115" s="433">
        <f t="shared" si="46"/>
        <v>0</v>
      </c>
      <c r="T115" s="411">
        <f t="shared" si="47"/>
        <v>0</v>
      </c>
      <c r="U115" s="1"/>
      <c r="Y115" s="447">
        <f t="shared" si="56"/>
        <v>150</v>
      </c>
      <c r="Z115" s="491" t="str">
        <f>VLOOKUP(Y115,Treatments!$C$7:$J$407,2)</f>
        <v>Glyphosate 450 CT</v>
      </c>
      <c r="AA115" s="495">
        <f t="shared" si="57"/>
        <v>1.5</v>
      </c>
      <c r="AB115" s="433">
        <f>VLOOKUP(Y115,Treatments!$C$7:$J$407,8)</f>
        <v>4.6360000000000001</v>
      </c>
      <c r="AC115" s="495">
        <f t="shared" si="58"/>
        <v>2</v>
      </c>
      <c r="AD115" s="496">
        <f t="shared" si="58"/>
        <v>1</v>
      </c>
      <c r="AE115" s="433">
        <f t="shared" si="60"/>
        <v>13.908000000000001</v>
      </c>
      <c r="AF115" s="411">
        <f t="shared" si="48"/>
        <v>1251.72</v>
      </c>
      <c r="AI115" s="447">
        <f t="shared" si="49"/>
        <v>0</v>
      </c>
      <c r="AJ115" s="491" t="str">
        <f>VLOOKUP(AI115,Treatments!$C$7:$J$407,2)</f>
        <v>No treatment</v>
      </c>
      <c r="AK115" s="495">
        <f t="shared" si="50"/>
        <v>0</v>
      </c>
      <c r="AL115" s="433">
        <f>VLOOKUP(AI115,Treatments!$C$7:$J$407,8)</f>
        <v>0</v>
      </c>
      <c r="AM115" s="495">
        <f t="shared" si="51"/>
        <v>0</v>
      </c>
      <c r="AN115" s="498"/>
      <c r="AO115" s="496">
        <f t="shared" si="52"/>
        <v>0</v>
      </c>
      <c r="AP115" s="433">
        <f t="shared" si="53"/>
        <v>0</v>
      </c>
      <c r="AQ115" s="411">
        <f t="shared" si="54"/>
        <v>0</v>
      </c>
      <c r="AR115" s="1"/>
    </row>
    <row r="116" spans="2:44" ht="15.75" x14ac:dyDescent="0.25">
      <c r="B116" s="305"/>
      <c r="C116" s="491" t="str">
        <f>IF(B116&lt;=0,"",VLOOKUP(B116,Treatments!$C$7:$J$407,2))</f>
        <v/>
      </c>
      <c r="D116" s="306"/>
      <c r="E116" s="433">
        <f>VLOOKUP(B116,Treatments!$C$7:$J$407,8)</f>
        <v>0</v>
      </c>
      <c r="F116" s="305"/>
      <c r="G116" s="308"/>
      <c r="H116" s="433">
        <f t="shared" si="59"/>
        <v>0</v>
      </c>
      <c r="I116" s="411">
        <f t="shared" si="55"/>
        <v>0</v>
      </c>
      <c r="U116" s="1"/>
      <c r="Y116" s="447">
        <f t="shared" si="56"/>
        <v>0</v>
      </c>
      <c r="Z116" s="491" t="str">
        <f>VLOOKUP(Y116,Treatments!$C$7:$J$407,2)</f>
        <v>No treatment</v>
      </c>
      <c r="AA116" s="495">
        <f t="shared" si="57"/>
        <v>0</v>
      </c>
      <c r="AB116" s="433">
        <f>VLOOKUP(Y116,Treatments!$C$7:$J$407,8)</f>
        <v>0</v>
      </c>
      <c r="AC116" s="495">
        <f t="shared" si="58"/>
        <v>0</v>
      </c>
      <c r="AD116" s="496">
        <f t="shared" si="58"/>
        <v>0</v>
      </c>
      <c r="AE116" s="433">
        <f t="shared" si="60"/>
        <v>0</v>
      </c>
      <c r="AF116" s="411">
        <f t="shared" si="48"/>
        <v>0</v>
      </c>
      <c r="AR116" s="1"/>
    </row>
    <row r="117" spans="2:44" ht="15.75" x14ac:dyDescent="0.25">
      <c r="B117" s="305"/>
      <c r="C117" s="491" t="str">
        <f>IF(B117&lt;=0,"",VLOOKUP(B117,Treatments!$C$7:$J$407,2))</f>
        <v/>
      </c>
      <c r="D117" s="306"/>
      <c r="E117" s="433">
        <f>VLOOKUP(B117,Treatments!$C$7:$J$407,8)</f>
        <v>0</v>
      </c>
      <c r="F117" s="305"/>
      <c r="G117" s="308"/>
      <c r="H117" s="433">
        <f t="shared" si="59"/>
        <v>0</v>
      </c>
      <c r="I117" s="411">
        <f t="shared" si="55"/>
        <v>0</v>
      </c>
      <c r="L117" s="482" t="s">
        <v>994</v>
      </c>
      <c r="M117" s="483" t="s">
        <v>580</v>
      </c>
      <c r="N117" s="484" t="s">
        <v>616</v>
      </c>
      <c r="O117" s="482" t="s">
        <v>619</v>
      </c>
      <c r="P117" s="485" t="s">
        <v>617</v>
      </c>
      <c r="Q117" s="482"/>
      <c r="R117" s="485" t="s">
        <v>618</v>
      </c>
      <c r="S117" s="487"/>
      <c r="T117" s="487"/>
      <c r="U117" s="1"/>
      <c r="Y117" s="447">
        <f t="shared" si="56"/>
        <v>0</v>
      </c>
      <c r="Z117" s="491" t="str">
        <f>VLOOKUP(Y117,Treatments!$C$7:$J$407,2)</f>
        <v>No treatment</v>
      </c>
      <c r="AA117" s="495">
        <f t="shared" si="57"/>
        <v>0</v>
      </c>
      <c r="AB117" s="433">
        <f>VLOOKUP(Y117,Treatments!$C$7:$J$407,8)</f>
        <v>0</v>
      </c>
      <c r="AC117" s="495">
        <f t="shared" si="58"/>
        <v>0</v>
      </c>
      <c r="AD117" s="496">
        <f t="shared" si="58"/>
        <v>0</v>
      </c>
      <c r="AE117" s="433">
        <f t="shared" si="60"/>
        <v>0</v>
      </c>
      <c r="AF117" s="411">
        <f t="shared" si="48"/>
        <v>0</v>
      </c>
      <c r="AI117" s="499" t="s">
        <v>994</v>
      </c>
      <c r="AJ117" s="5" t="s">
        <v>580</v>
      </c>
      <c r="AK117" s="14" t="s">
        <v>616</v>
      </c>
      <c r="AL117" s="6" t="s">
        <v>619</v>
      </c>
      <c r="AM117" s="1" t="s">
        <v>617</v>
      </c>
      <c r="AN117" s="6"/>
      <c r="AO117" s="1" t="s">
        <v>618</v>
      </c>
      <c r="AP117" s="500"/>
      <c r="AQ117" s="62"/>
      <c r="AR117" s="1"/>
    </row>
    <row r="118" spans="2:44" ht="15.75" x14ac:dyDescent="0.25">
      <c r="B118" s="305"/>
      <c r="C118" s="491" t="str">
        <f>IF(B118&lt;=0,"",VLOOKUP(B118,Treatments!$C$7:$J$407,2))</f>
        <v/>
      </c>
      <c r="D118" s="306"/>
      <c r="E118" s="433">
        <f>VLOOKUP(B118,Treatments!$C$7:$J$407,8)</f>
        <v>0</v>
      </c>
      <c r="F118" s="435"/>
      <c r="G118" s="493"/>
      <c r="H118" s="433">
        <f t="shared" si="59"/>
        <v>0</v>
      </c>
      <c r="I118" s="411">
        <f t="shared" si="55"/>
        <v>0</v>
      </c>
      <c r="L118" s="305"/>
      <c r="M118" s="491" t="str">
        <f>VLOOKUP(L118,Treatments!$C$7:$J$407,2)</f>
        <v>No treatment</v>
      </c>
      <c r="N118" s="306"/>
      <c r="O118" s="433">
        <f>VLOOKUP(L118,Treatments!$C$7:$J$407,8)</f>
        <v>0</v>
      </c>
      <c r="P118" s="305"/>
      <c r="Q118" s="494"/>
      <c r="R118" s="308"/>
      <c r="S118" s="433">
        <f>N118*O118*P118*R118</f>
        <v>0</v>
      </c>
      <c r="T118" s="411">
        <f>S118*$D$9</f>
        <v>0</v>
      </c>
      <c r="U118" s="1"/>
      <c r="Y118" s="447">
        <f t="shared" si="56"/>
        <v>0</v>
      </c>
      <c r="Z118" s="491" t="str">
        <f>VLOOKUP(Y118,Treatments!$C$7:$J$407,2)</f>
        <v>No treatment</v>
      </c>
      <c r="AA118" s="495">
        <f t="shared" si="57"/>
        <v>0</v>
      </c>
      <c r="AB118" s="433">
        <f>VLOOKUP(Y118,Treatments!$C$7:$J$407,8)</f>
        <v>0</v>
      </c>
      <c r="AC118" s="495">
        <f t="shared" si="58"/>
        <v>0</v>
      </c>
      <c r="AD118" s="496">
        <f t="shared" si="58"/>
        <v>0</v>
      </c>
      <c r="AE118" s="433">
        <f t="shared" si="60"/>
        <v>0</v>
      </c>
      <c r="AF118" s="411">
        <f t="shared" si="48"/>
        <v>0</v>
      </c>
      <c r="AI118" s="447">
        <f t="shared" ref="AI118:AI129" si="61">IF(AND(L118&gt;=344,L118&lt;=358),L118+15,L118)</f>
        <v>0</v>
      </c>
      <c r="AJ118" s="491" t="str">
        <f>VLOOKUP(AI118,Treatments!$C$7:$J$407,2)</f>
        <v>No treatment</v>
      </c>
      <c r="AK118" s="495">
        <f t="shared" ref="AK118:AK129" si="62">N118</f>
        <v>0</v>
      </c>
      <c r="AL118" s="433">
        <f>VLOOKUP(AI118,Treatments!$C$7:$J$407,8)</f>
        <v>0</v>
      </c>
      <c r="AM118" s="495">
        <f t="shared" ref="AM118:AM129" si="63">P118</f>
        <v>0</v>
      </c>
      <c r="AN118" s="494"/>
      <c r="AO118" s="496">
        <f t="shared" ref="AO118:AO129" si="64">R118</f>
        <v>0</v>
      </c>
      <c r="AP118" s="433">
        <f>AK118*AL118*AM118*AO118</f>
        <v>0</v>
      </c>
      <c r="AQ118" s="411">
        <f t="shared" ref="AQ118:AQ129" si="65">AP118*$D$9</f>
        <v>0</v>
      </c>
      <c r="AR118" s="1"/>
    </row>
    <row r="119" spans="2:44" ht="15.75" x14ac:dyDescent="0.25">
      <c r="B119" s="435"/>
      <c r="C119" s="491" t="str">
        <f>IF(B119&lt;=0,"",VLOOKUP(B119,Treatments!$C$7:$J$407,2))</f>
        <v/>
      </c>
      <c r="D119" s="492"/>
      <c r="E119" s="433">
        <f>VLOOKUP(B119,Treatments!$C$7:$J$407,8)</f>
        <v>0</v>
      </c>
      <c r="F119" s="435"/>
      <c r="G119" s="493"/>
      <c r="H119" s="433">
        <f t="shared" si="59"/>
        <v>0</v>
      </c>
      <c r="I119" s="411">
        <f t="shared" si="55"/>
        <v>0</v>
      </c>
      <c r="L119" s="305"/>
      <c r="M119" s="491" t="str">
        <f>VLOOKUP(L119,Treatments!$C$7:$J$407,2)</f>
        <v>No treatment</v>
      </c>
      <c r="N119" s="306"/>
      <c r="O119" s="433">
        <f>VLOOKUP(L119,Treatments!$C$7:$J$407,8)</f>
        <v>0</v>
      </c>
      <c r="P119" s="305"/>
      <c r="Q119" s="160"/>
      <c r="R119" s="308"/>
      <c r="S119" s="433">
        <f t="shared" ref="S119:S129" si="66">N119*O119*P119*R119</f>
        <v>0</v>
      </c>
      <c r="T119" s="411">
        <f t="shared" ref="T119:T129" si="67">S119*$D$9</f>
        <v>0</v>
      </c>
      <c r="U119" s="1"/>
      <c r="Y119" s="447">
        <f t="shared" si="56"/>
        <v>0</v>
      </c>
      <c r="Z119" s="491" t="str">
        <f>VLOOKUP(Y119,Treatments!$C$7:$J$407,2)</f>
        <v>No treatment</v>
      </c>
      <c r="AA119" s="495">
        <f t="shared" si="57"/>
        <v>0</v>
      </c>
      <c r="AB119" s="433">
        <f>VLOOKUP(Y119,Treatments!$C$7:$J$407,8)</f>
        <v>0</v>
      </c>
      <c r="AC119" s="495">
        <f t="shared" si="58"/>
        <v>0</v>
      </c>
      <c r="AD119" s="496">
        <f t="shared" si="58"/>
        <v>0</v>
      </c>
      <c r="AE119" s="433">
        <f t="shared" si="60"/>
        <v>0</v>
      </c>
      <c r="AF119" s="411">
        <f t="shared" si="48"/>
        <v>0</v>
      </c>
      <c r="AI119" s="447">
        <f t="shared" si="61"/>
        <v>0</v>
      </c>
      <c r="AJ119" s="491" t="str">
        <f>VLOOKUP(AI119,Treatments!$C$7:$J$407,2)</f>
        <v>No treatment</v>
      </c>
      <c r="AK119" s="495">
        <f t="shared" si="62"/>
        <v>0</v>
      </c>
      <c r="AL119" s="433">
        <f>VLOOKUP(AI119,Treatments!$C$7:$J$407,8)</f>
        <v>0</v>
      </c>
      <c r="AM119" s="495">
        <f t="shared" si="63"/>
        <v>0</v>
      </c>
      <c r="AN119" s="160"/>
      <c r="AO119" s="496">
        <f t="shared" si="64"/>
        <v>0</v>
      </c>
      <c r="AP119" s="433">
        <f t="shared" ref="AP119:AP129" si="68">AK119*AL119*AM119*AO119</f>
        <v>0</v>
      </c>
      <c r="AQ119" s="411">
        <f t="shared" si="65"/>
        <v>0</v>
      </c>
      <c r="AR119" s="1"/>
    </row>
    <row r="120" spans="2:44" ht="15.75" x14ac:dyDescent="0.25">
      <c r="B120" s="435"/>
      <c r="C120" s="491" t="str">
        <f>IF(B120&lt;=0,"",VLOOKUP(B120,Treatments!$C$7:$J$407,2))</f>
        <v/>
      </c>
      <c r="D120" s="492"/>
      <c r="E120" s="433">
        <f>VLOOKUP(B120,Treatments!$C$7:$J$407,8)</f>
        <v>0</v>
      </c>
      <c r="F120" s="435"/>
      <c r="G120" s="493"/>
      <c r="H120" s="433">
        <f t="shared" si="59"/>
        <v>0</v>
      </c>
      <c r="I120" s="411">
        <f t="shared" si="55"/>
        <v>0</v>
      </c>
      <c r="L120" s="305"/>
      <c r="M120" s="491" t="str">
        <f>VLOOKUP(L120,Treatments!$C$7:$J$407,2)</f>
        <v>No treatment</v>
      </c>
      <c r="N120" s="306"/>
      <c r="O120" s="433">
        <f>VLOOKUP(L120,Treatments!$C$7:$J$407,8)</f>
        <v>0</v>
      </c>
      <c r="P120" s="305"/>
      <c r="Q120" s="160"/>
      <c r="R120" s="308"/>
      <c r="S120" s="433">
        <f t="shared" si="66"/>
        <v>0</v>
      </c>
      <c r="T120" s="411">
        <f t="shared" si="67"/>
        <v>0</v>
      </c>
      <c r="U120" s="1"/>
      <c r="Y120" s="447">
        <f t="shared" si="56"/>
        <v>0</v>
      </c>
      <c r="Z120" s="491" t="str">
        <f>VLOOKUP(Y120,Treatments!$C$7:$J$407,2)</f>
        <v>No treatment</v>
      </c>
      <c r="AA120" s="495">
        <f t="shared" si="57"/>
        <v>0</v>
      </c>
      <c r="AB120" s="433">
        <f>VLOOKUP(Y120,Treatments!$C$7:$J$407,8)</f>
        <v>0</v>
      </c>
      <c r="AC120" s="495">
        <f t="shared" si="58"/>
        <v>0</v>
      </c>
      <c r="AD120" s="496">
        <f t="shared" si="58"/>
        <v>0</v>
      </c>
      <c r="AE120" s="433">
        <f t="shared" si="60"/>
        <v>0</v>
      </c>
      <c r="AF120" s="411">
        <f t="shared" si="48"/>
        <v>0</v>
      </c>
      <c r="AI120" s="447">
        <f t="shared" si="61"/>
        <v>0</v>
      </c>
      <c r="AJ120" s="491" t="str">
        <f>VLOOKUP(AI120,Treatments!$C$7:$J$407,2)</f>
        <v>No treatment</v>
      </c>
      <c r="AK120" s="495">
        <f t="shared" si="62"/>
        <v>0</v>
      </c>
      <c r="AL120" s="433">
        <f>VLOOKUP(AI120,Treatments!$C$7:$J$407,8)</f>
        <v>0</v>
      </c>
      <c r="AM120" s="495">
        <f t="shared" si="63"/>
        <v>0</v>
      </c>
      <c r="AN120" s="160"/>
      <c r="AO120" s="496">
        <f t="shared" si="64"/>
        <v>0</v>
      </c>
      <c r="AP120" s="433">
        <f t="shared" si="68"/>
        <v>0</v>
      </c>
      <c r="AQ120" s="411">
        <f t="shared" si="65"/>
        <v>0</v>
      </c>
      <c r="AR120" s="1"/>
    </row>
    <row r="121" spans="2:44" ht="15.75" x14ac:dyDescent="0.25">
      <c r="B121" s="435"/>
      <c r="C121" s="491" t="str">
        <f>IF(B121&lt;=0,"",VLOOKUP(B121,Treatments!$C$7:$J$407,2))</f>
        <v/>
      </c>
      <c r="D121" s="492"/>
      <c r="E121" s="433">
        <f>VLOOKUP(B121,Treatments!$C$7:$J$407,8)</f>
        <v>0</v>
      </c>
      <c r="F121" s="435"/>
      <c r="G121" s="493"/>
      <c r="H121" s="433">
        <f t="shared" si="59"/>
        <v>0</v>
      </c>
      <c r="I121" s="411">
        <f t="shared" si="55"/>
        <v>0</v>
      </c>
      <c r="L121" s="305"/>
      <c r="M121" s="491" t="str">
        <f>VLOOKUP(L121,Treatments!$C$7:$J$407,2)</f>
        <v>No treatment</v>
      </c>
      <c r="N121" s="306"/>
      <c r="O121" s="433">
        <f>VLOOKUP(L121,Treatments!$C$7:$J$407,8)</f>
        <v>0</v>
      </c>
      <c r="P121" s="305"/>
      <c r="Q121" s="160"/>
      <c r="R121" s="308"/>
      <c r="S121" s="433">
        <f t="shared" si="66"/>
        <v>0</v>
      </c>
      <c r="T121" s="411">
        <f t="shared" si="67"/>
        <v>0</v>
      </c>
      <c r="U121" s="1"/>
      <c r="Y121" s="447">
        <f t="shared" si="56"/>
        <v>0</v>
      </c>
      <c r="Z121" s="491" t="str">
        <f>VLOOKUP(Y121,Treatments!$C$7:$J$407,2)</f>
        <v>No treatment</v>
      </c>
      <c r="AA121" s="495">
        <f t="shared" si="57"/>
        <v>0</v>
      </c>
      <c r="AB121" s="433">
        <f>VLOOKUP(Y121,Treatments!$C$7:$J$407,8)</f>
        <v>0</v>
      </c>
      <c r="AC121" s="495">
        <f t="shared" si="58"/>
        <v>0</v>
      </c>
      <c r="AD121" s="496">
        <f t="shared" si="58"/>
        <v>0</v>
      </c>
      <c r="AE121" s="433">
        <f t="shared" si="60"/>
        <v>0</v>
      </c>
      <c r="AF121" s="411">
        <f t="shared" si="48"/>
        <v>0</v>
      </c>
      <c r="AI121" s="447">
        <f t="shared" si="61"/>
        <v>0</v>
      </c>
      <c r="AJ121" s="491" t="str">
        <f>VLOOKUP(AI121,Treatments!$C$7:$J$407,2)</f>
        <v>No treatment</v>
      </c>
      <c r="AK121" s="495">
        <f t="shared" si="62"/>
        <v>0</v>
      </c>
      <c r="AL121" s="433">
        <f>VLOOKUP(AI121,Treatments!$C$7:$J$407,8)</f>
        <v>0</v>
      </c>
      <c r="AM121" s="495">
        <f t="shared" si="63"/>
        <v>0</v>
      </c>
      <c r="AN121" s="160"/>
      <c r="AO121" s="496">
        <f t="shared" si="64"/>
        <v>0</v>
      </c>
      <c r="AP121" s="433">
        <f t="shared" si="68"/>
        <v>0</v>
      </c>
      <c r="AQ121" s="411">
        <f t="shared" si="65"/>
        <v>0</v>
      </c>
      <c r="AR121" s="1"/>
    </row>
    <row r="122" spans="2:44" ht="15.75" x14ac:dyDescent="0.25">
      <c r="B122" s="435"/>
      <c r="C122" s="491" t="str">
        <f>IF(B122&lt;=0,"",VLOOKUP(B122,Treatments!$C$7:$J$407,2))</f>
        <v/>
      </c>
      <c r="D122" s="492"/>
      <c r="E122" s="433">
        <f>VLOOKUP(B122,Treatments!$C$7:$J$407,8)</f>
        <v>0</v>
      </c>
      <c r="F122" s="435"/>
      <c r="G122" s="493"/>
      <c r="H122" s="433">
        <f t="shared" si="59"/>
        <v>0</v>
      </c>
      <c r="I122" s="411">
        <f t="shared" si="55"/>
        <v>0</v>
      </c>
      <c r="L122" s="305"/>
      <c r="M122" s="491" t="str">
        <f>VLOOKUP(L122,Treatments!$C$7:$J$407,2)</f>
        <v>No treatment</v>
      </c>
      <c r="N122" s="306"/>
      <c r="O122" s="433">
        <f>VLOOKUP(L122,Treatments!$C$7:$J$407,8)</f>
        <v>0</v>
      </c>
      <c r="P122" s="305"/>
      <c r="Q122" s="160"/>
      <c r="R122" s="308"/>
      <c r="S122" s="433">
        <f t="shared" si="66"/>
        <v>0</v>
      </c>
      <c r="T122" s="411">
        <f t="shared" si="67"/>
        <v>0</v>
      </c>
      <c r="U122" s="1"/>
      <c r="Y122" s="447">
        <f t="shared" si="56"/>
        <v>0</v>
      </c>
      <c r="Z122" s="491" t="str">
        <f>VLOOKUP(Y122,Treatments!$C$7:$J$407,2)</f>
        <v>No treatment</v>
      </c>
      <c r="AA122" s="495">
        <f t="shared" si="57"/>
        <v>0</v>
      </c>
      <c r="AB122" s="433">
        <f>VLOOKUP(Y122,Treatments!$C$7:$J$407,8)</f>
        <v>0</v>
      </c>
      <c r="AC122" s="495">
        <f t="shared" si="58"/>
        <v>0</v>
      </c>
      <c r="AD122" s="496">
        <f t="shared" si="58"/>
        <v>0</v>
      </c>
      <c r="AE122" s="433">
        <f t="shared" si="60"/>
        <v>0</v>
      </c>
      <c r="AF122" s="411">
        <f t="shared" si="48"/>
        <v>0</v>
      </c>
      <c r="AI122" s="447">
        <f t="shared" si="61"/>
        <v>0</v>
      </c>
      <c r="AJ122" s="491" t="str">
        <f>VLOOKUP(AI122,Treatments!$C$7:$J$407,2)</f>
        <v>No treatment</v>
      </c>
      <c r="AK122" s="495">
        <f t="shared" si="62"/>
        <v>0</v>
      </c>
      <c r="AL122" s="433">
        <f>VLOOKUP(AI122,Treatments!$C$7:$J$407,8)</f>
        <v>0</v>
      </c>
      <c r="AM122" s="495">
        <f t="shared" si="63"/>
        <v>0</v>
      </c>
      <c r="AN122" s="160"/>
      <c r="AO122" s="496">
        <f t="shared" si="64"/>
        <v>0</v>
      </c>
      <c r="AP122" s="433">
        <f t="shared" si="68"/>
        <v>0</v>
      </c>
      <c r="AQ122" s="411">
        <f t="shared" si="65"/>
        <v>0</v>
      </c>
      <c r="AR122" s="1"/>
    </row>
    <row r="123" spans="2:44" ht="15.75" x14ac:dyDescent="0.25">
      <c r="B123" s="435"/>
      <c r="C123" s="491" t="str">
        <f>IF(B123&lt;=0,"",VLOOKUP(B123,Treatments!$C$7:$J$407,2))</f>
        <v/>
      </c>
      <c r="D123" s="492"/>
      <c r="E123" s="433">
        <f>VLOOKUP(B123,Treatments!$C$7:$J$407,8)</f>
        <v>0</v>
      </c>
      <c r="F123" s="435"/>
      <c r="G123" s="493"/>
      <c r="H123" s="433">
        <f>D123*E123*F123*G123</f>
        <v>0</v>
      </c>
      <c r="I123" s="411">
        <f t="shared" si="55"/>
        <v>0</v>
      </c>
      <c r="L123" s="305"/>
      <c r="M123" s="491" t="str">
        <f>VLOOKUP(L123,Treatments!$C$7:$J$407,2)</f>
        <v>No treatment</v>
      </c>
      <c r="N123" s="306"/>
      <c r="O123" s="433">
        <f>VLOOKUP(L123,Treatments!$C$7:$J$407,8)</f>
        <v>0</v>
      </c>
      <c r="P123" s="305"/>
      <c r="Q123" s="160"/>
      <c r="R123" s="308"/>
      <c r="S123" s="433">
        <f t="shared" si="66"/>
        <v>0</v>
      </c>
      <c r="T123" s="411">
        <f t="shared" si="67"/>
        <v>0</v>
      </c>
      <c r="U123" s="1"/>
      <c r="Y123" s="447">
        <f t="shared" si="56"/>
        <v>0</v>
      </c>
      <c r="Z123" s="491" t="str">
        <f>VLOOKUP(Y123,Treatments!$C$7:$J$407,2)</f>
        <v>No treatment</v>
      </c>
      <c r="AA123" s="495">
        <f t="shared" si="57"/>
        <v>0</v>
      </c>
      <c r="AB123" s="433">
        <f>VLOOKUP(Y123,Treatments!$C$7:$J$407,8)</f>
        <v>0</v>
      </c>
      <c r="AC123" s="495">
        <f t="shared" si="58"/>
        <v>0</v>
      </c>
      <c r="AD123" s="496">
        <f t="shared" si="58"/>
        <v>0</v>
      </c>
      <c r="AE123" s="433">
        <f>AA123*AB123*AC123*AD123</f>
        <v>0</v>
      </c>
      <c r="AF123" s="411">
        <f t="shared" si="48"/>
        <v>0</v>
      </c>
      <c r="AI123" s="447">
        <f t="shared" si="61"/>
        <v>0</v>
      </c>
      <c r="AJ123" s="491" t="str">
        <f>VLOOKUP(AI123,Treatments!$C$7:$J$407,2)</f>
        <v>No treatment</v>
      </c>
      <c r="AK123" s="495">
        <f t="shared" si="62"/>
        <v>0</v>
      </c>
      <c r="AL123" s="433">
        <f>VLOOKUP(AI123,Treatments!$C$7:$J$407,8)</f>
        <v>0</v>
      </c>
      <c r="AM123" s="495">
        <f t="shared" si="63"/>
        <v>0</v>
      </c>
      <c r="AN123" s="160"/>
      <c r="AO123" s="496">
        <f t="shared" si="64"/>
        <v>0</v>
      </c>
      <c r="AP123" s="433">
        <f t="shared" si="68"/>
        <v>0</v>
      </c>
      <c r="AQ123" s="411">
        <f t="shared" si="65"/>
        <v>0</v>
      </c>
      <c r="AR123" s="1"/>
    </row>
    <row r="124" spans="2:44" ht="15.75" x14ac:dyDescent="0.25">
      <c r="B124" s="435"/>
      <c r="C124" s="491" t="str">
        <f>IF(B124&lt;=0,"",VLOOKUP(B124,Treatments!$C$7:$J$407,2))</f>
        <v/>
      </c>
      <c r="D124" s="492"/>
      <c r="E124" s="433">
        <f>VLOOKUP(B124,Treatments!$C$7:$J$407,8)</f>
        <v>0</v>
      </c>
      <c r="F124" s="435"/>
      <c r="G124" s="493"/>
      <c r="H124" s="433">
        <f>D124*E124*F124*G124</f>
        <v>0</v>
      </c>
      <c r="I124" s="411">
        <f t="shared" si="55"/>
        <v>0</v>
      </c>
      <c r="L124" s="305"/>
      <c r="M124" s="491" t="str">
        <f>VLOOKUP(L124,Treatments!$C$7:$J$407,2)</f>
        <v>No treatment</v>
      </c>
      <c r="N124" s="306"/>
      <c r="O124" s="433">
        <f>VLOOKUP(L124,Treatments!$C$7:$J$407,8)</f>
        <v>0</v>
      </c>
      <c r="P124" s="305"/>
      <c r="Q124" s="160"/>
      <c r="R124" s="308"/>
      <c r="S124" s="433">
        <f t="shared" si="66"/>
        <v>0</v>
      </c>
      <c r="T124" s="411">
        <f t="shared" si="67"/>
        <v>0</v>
      </c>
      <c r="U124" s="1"/>
      <c r="Y124" s="447">
        <f t="shared" si="56"/>
        <v>0</v>
      </c>
      <c r="Z124" s="491" t="str">
        <f>VLOOKUP(Y124,Treatments!$C$7:$J$407,2)</f>
        <v>No treatment</v>
      </c>
      <c r="AA124" s="495">
        <f t="shared" si="57"/>
        <v>0</v>
      </c>
      <c r="AB124" s="433">
        <f>VLOOKUP(Y124,Treatments!$C$7:$J$407,8)</f>
        <v>0</v>
      </c>
      <c r="AC124" s="495">
        <f t="shared" si="58"/>
        <v>0</v>
      </c>
      <c r="AD124" s="496">
        <f t="shared" si="58"/>
        <v>0</v>
      </c>
      <c r="AE124" s="433">
        <f>AA124*AB124*AC124*AD124</f>
        <v>0</v>
      </c>
      <c r="AF124" s="411">
        <f t="shared" si="48"/>
        <v>0</v>
      </c>
      <c r="AI124" s="447">
        <f t="shared" si="61"/>
        <v>0</v>
      </c>
      <c r="AJ124" s="491" t="str">
        <f>VLOOKUP(AI124,Treatments!$C$7:$J$407,2)</f>
        <v>No treatment</v>
      </c>
      <c r="AK124" s="495">
        <f t="shared" si="62"/>
        <v>0</v>
      </c>
      <c r="AL124" s="433">
        <f>VLOOKUP(AI124,Treatments!$C$7:$J$407,8)</f>
        <v>0</v>
      </c>
      <c r="AM124" s="495">
        <f t="shared" si="63"/>
        <v>0</v>
      </c>
      <c r="AN124" s="160"/>
      <c r="AO124" s="496">
        <f t="shared" si="64"/>
        <v>0</v>
      </c>
      <c r="AP124" s="433">
        <f t="shared" si="68"/>
        <v>0</v>
      </c>
      <c r="AQ124" s="411">
        <f t="shared" si="65"/>
        <v>0</v>
      </c>
      <c r="AR124" s="1"/>
    </row>
    <row r="125" spans="2:44" ht="15.75" x14ac:dyDescent="0.25">
      <c r="B125" s="1"/>
      <c r="C125" s="1"/>
      <c r="D125" s="1"/>
      <c r="E125" s="1"/>
      <c r="F125" s="1"/>
      <c r="G125" s="6"/>
      <c r="H125" s="1"/>
      <c r="I125" s="1"/>
      <c r="L125" s="305"/>
      <c r="M125" s="491" t="str">
        <f>VLOOKUP(L125,Treatments!$C$7:$J$407,2)</f>
        <v>No treatment</v>
      </c>
      <c r="N125" s="306"/>
      <c r="O125" s="433">
        <f>VLOOKUP(L125,Treatments!$C$7:$J$407,8)</f>
        <v>0</v>
      </c>
      <c r="P125" s="305"/>
      <c r="Q125" s="160"/>
      <c r="R125" s="308"/>
      <c r="S125" s="433">
        <f t="shared" si="66"/>
        <v>0</v>
      </c>
      <c r="T125" s="411">
        <f t="shared" si="67"/>
        <v>0</v>
      </c>
      <c r="U125" s="1"/>
      <c r="Y125" s="1"/>
      <c r="Z125" s="1"/>
      <c r="AA125" s="6"/>
      <c r="AB125" s="6"/>
      <c r="AC125" s="6"/>
      <c r="AD125" s="6"/>
      <c r="AE125" s="6"/>
      <c r="AF125" s="6"/>
      <c r="AI125" s="447">
        <f t="shared" si="61"/>
        <v>0</v>
      </c>
      <c r="AJ125" s="491" t="str">
        <f>VLOOKUP(AI125,Treatments!$C$7:$J$407,2)</f>
        <v>No treatment</v>
      </c>
      <c r="AK125" s="495">
        <f t="shared" si="62"/>
        <v>0</v>
      </c>
      <c r="AL125" s="433">
        <f>VLOOKUP(AI125,Treatments!$C$7:$J$407,8)</f>
        <v>0</v>
      </c>
      <c r="AM125" s="495">
        <f t="shared" si="63"/>
        <v>0</v>
      </c>
      <c r="AN125" s="160"/>
      <c r="AO125" s="496">
        <f t="shared" si="64"/>
        <v>0</v>
      </c>
      <c r="AP125" s="433">
        <f t="shared" si="68"/>
        <v>0</v>
      </c>
      <c r="AQ125" s="411">
        <f t="shared" si="65"/>
        <v>0</v>
      </c>
      <c r="AR125" s="1"/>
    </row>
    <row r="126" spans="2:44" ht="15.75" x14ac:dyDescent="0.25">
      <c r="B126" s="501" t="s">
        <v>994</v>
      </c>
      <c r="C126" s="502" t="s">
        <v>580</v>
      </c>
      <c r="D126" s="503" t="s">
        <v>616</v>
      </c>
      <c r="E126" s="501" t="s">
        <v>619</v>
      </c>
      <c r="F126" s="504" t="s">
        <v>617</v>
      </c>
      <c r="G126" s="504" t="s">
        <v>618</v>
      </c>
      <c r="H126" s="505"/>
      <c r="I126" s="506"/>
      <c r="L126" s="305"/>
      <c r="M126" s="491" t="str">
        <f>VLOOKUP(L126,Treatments!$C$7:$J$407,2)</f>
        <v>No treatment</v>
      </c>
      <c r="N126" s="306"/>
      <c r="O126" s="433">
        <f>VLOOKUP(L126,Treatments!$C$7:$J$407,8)</f>
        <v>0</v>
      </c>
      <c r="P126" s="305"/>
      <c r="Q126" s="160"/>
      <c r="R126" s="308"/>
      <c r="S126" s="433">
        <f t="shared" si="66"/>
        <v>0</v>
      </c>
      <c r="T126" s="411">
        <f t="shared" si="67"/>
        <v>0</v>
      </c>
      <c r="U126" s="1"/>
      <c r="Y126" s="6" t="s">
        <v>994</v>
      </c>
      <c r="Z126" s="5" t="s">
        <v>580</v>
      </c>
      <c r="AA126" s="6" t="s">
        <v>616</v>
      </c>
      <c r="AB126" s="6" t="s">
        <v>619</v>
      </c>
      <c r="AC126" s="6" t="s">
        <v>617</v>
      </c>
      <c r="AD126" s="6" t="s">
        <v>618</v>
      </c>
      <c r="AE126" s="507"/>
      <c r="AF126" s="508"/>
      <c r="AI126" s="447">
        <f t="shared" si="61"/>
        <v>0</v>
      </c>
      <c r="AJ126" s="491" t="str">
        <f>VLOOKUP(AI126,Treatments!$C$7:$J$407,2)</f>
        <v>No treatment</v>
      </c>
      <c r="AK126" s="495">
        <f t="shared" si="62"/>
        <v>0</v>
      </c>
      <c r="AL126" s="433">
        <f>VLOOKUP(AI126,Treatments!$C$7:$J$407,8)</f>
        <v>0</v>
      </c>
      <c r="AM126" s="495">
        <f t="shared" si="63"/>
        <v>0</v>
      </c>
      <c r="AN126" s="160"/>
      <c r="AO126" s="496">
        <f t="shared" si="64"/>
        <v>0</v>
      </c>
      <c r="AP126" s="433">
        <f t="shared" si="68"/>
        <v>0</v>
      </c>
      <c r="AQ126" s="411">
        <f t="shared" si="65"/>
        <v>0</v>
      </c>
      <c r="AR126" s="1"/>
    </row>
    <row r="127" spans="2:44" ht="15.75" x14ac:dyDescent="0.25">
      <c r="B127" s="435"/>
      <c r="C127" s="491" t="str">
        <f>IF(B127&lt;=0,"",VLOOKUP(B127,Treatments!$C$7:$J$407,2))</f>
        <v/>
      </c>
      <c r="D127" s="492"/>
      <c r="E127" s="433">
        <f>VLOOKUP(B127,Treatments!$C$7:$J$407,8)</f>
        <v>0</v>
      </c>
      <c r="F127" s="435"/>
      <c r="G127" s="493"/>
      <c r="H127" s="433">
        <f t="shared" ref="H127:H138" si="69">D127*E127*F127*G127</f>
        <v>0</v>
      </c>
      <c r="I127" s="411">
        <f>H127*$D$9</f>
        <v>0</v>
      </c>
      <c r="L127" s="305"/>
      <c r="M127" s="491" t="str">
        <f>VLOOKUP(L127,Treatments!$C$7:$J$407,2)</f>
        <v>No treatment</v>
      </c>
      <c r="N127" s="306"/>
      <c r="O127" s="433">
        <f>VLOOKUP(L127,Treatments!$C$7:$J$407,8)</f>
        <v>0</v>
      </c>
      <c r="P127" s="305"/>
      <c r="Q127" s="160"/>
      <c r="R127" s="308"/>
      <c r="S127" s="433">
        <f t="shared" si="66"/>
        <v>0</v>
      </c>
      <c r="T127" s="411">
        <f t="shared" si="67"/>
        <v>0</v>
      </c>
      <c r="U127" s="1"/>
      <c r="Y127" s="447">
        <f>IF(AND(B127&gt;=344,B127&lt;=358),B127+15,B127)</f>
        <v>0</v>
      </c>
      <c r="Z127" s="491" t="str">
        <f>VLOOKUP(Y127,Treatments!$C$7:$J$407,2)</f>
        <v>No treatment</v>
      </c>
      <c r="AA127" s="495">
        <f t="shared" ref="AA127:AA138" si="70">D127</f>
        <v>0</v>
      </c>
      <c r="AB127" s="433">
        <f>VLOOKUP(Y127,Treatments!$C$7:$J$407,8)</f>
        <v>0</v>
      </c>
      <c r="AC127" s="495">
        <f t="shared" ref="AC127:AD138" si="71">F127</f>
        <v>0</v>
      </c>
      <c r="AD127" s="496">
        <f t="shared" si="71"/>
        <v>0</v>
      </c>
      <c r="AE127" s="433">
        <f t="shared" ref="AE127:AE138" si="72">AA127*AB127*AC127*AD127</f>
        <v>0</v>
      </c>
      <c r="AF127" s="411">
        <f t="shared" ref="AF127:AF138" si="73">AE127*$D$9</f>
        <v>0</v>
      </c>
      <c r="AI127" s="447">
        <f t="shared" si="61"/>
        <v>0</v>
      </c>
      <c r="AJ127" s="491" t="str">
        <f>VLOOKUP(AI127,Treatments!$C$7:$J$407,2)</f>
        <v>No treatment</v>
      </c>
      <c r="AK127" s="495">
        <f t="shared" si="62"/>
        <v>0</v>
      </c>
      <c r="AL127" s="433">
        <f>VLOOKUP(AI127,Treatments!$C$7:$J$407,8)</f>
        <v>0</v>
      </c>
      <c r="AM127" s="495">
        <f t="shared" si="63"/>
        <v>0</v>
      </c>
      <c r="AN127" s="160"/>
      <c r="AO127" s="496">
        <f t="shared" si="64"/>
        <v>0</v>
      </c>
      <c r="AP127" s="433">
        <f t="shared" si="68"/>
        <v>0</v>
      </c>
      <c r="AQ127" s="411">
        <f t="shared" si="65"/>
        <v>0</v>
      </c>
      <c r="AR127" s="1"/>
    </row>
    <row r="128" spans="2:44" x14ac:dyDescent="0.2">
      <c r="B128" s="435"/>
      <c r="C128" s="491" t="str">
        <f>IF(B128&lt;=0,"",VLOOKUP(B128,Treatments!$C$7:$J$407,2))</f>
        <v/>
      </c>
      <c r="D128" s="492"/>
      <c r="E128" s="433">
        <f>VLOOKUP(B128,Treatments!$C$7:$J$407,8)</f>
        <v>0</v>
      </c>
      <c r="F128" s="435"/>
      <c r="G128" s="493"/>
      <c r="H128" s="433">
        <f t="shared" si="69"/>
        <v>0</v>
      </c>
      <c r="I128" s="411">
        <f t="shared" ref="I128:I138" si="74">H128*$D$9</f>
        <v>0</v>
      </c>
      <c r="L128" s="435"/>
      <c r="M128" s="491" t="str">
        <f>VLOOKUP(L128,Treatments!$C$7:$J$407,2)</f>
        <v>No treatment</v>
      </c>
      <c r="N128" s="492"/>
      <c r="O128" s="433">
        <f>VLOOKUP(L128,Treatments!$C$7:$J$407,8)</f>
        <v>0</v>
      </c>
      <c r="P128" s="435"/>
      <c r="Q128" s="160"/>
      <c r="R128" s="493"/>
      <c r="S128" s="433">
        <f t="shared" si="66"/>
        <v>0</v>
      </c>
      <c r="T128" s="411">
        <f t="shared" si="67"/>
        <v>0</v>
      </c>
      <c r="U128" s="1"/>
      <c r="Y128" s="447">
        <f t="shared" ref="Y128:Y138" si="75">IF(AND(B128&gt;=344,B128&lt;=358),B128+15,B128)</f>
        <v>0</v>
      </c>
      <c r="Z128" s="491" t="str">
        <f>VLOOKUP(Y128,Treatments!$C$7:$J$407,2)</f>
        <v>No treatment</v>
      </c>
      <c r="AA128" s="495">
        <f t="shared" si="70"/>
        <v>0</v>
      </c>
      <c r="AB128" s="433">
        <f>VLOOKUP(Y128,Treatments!$C$7:$J$407,8)</f>
        <v>0</v>
      </c>
      <c r="AC128" s="495">
        <f t="shared" si="71"/>
        <v>0</v>
      </c>
      <c r="AD128" s="496">
        <f t="shared" si="71"/>
        <v>0</v>
      </c>
      <c r="AE128" s="433">
        <f t="shared" si="72"/>
        <v>0</v>
      </c>
      <c r="AF128" s="411">
        <f t="shared" si="73"/>
        <v>0</v>
      </c>
      <c r="AI128" s="447">
        <f t="shared" si="61"/>
        <v>0</v>
      </c>
      <c r="AJ128" s="491" t="str">
        <f>VLOOKUP(AI128,Treatments!$C$7:$J$407,2)</f>
        <v>No treatment</v>
      </c>
      <c r="AK128" s="495">
        <f t="shared" si="62"/>
        <v>0</v>
      </c>
      <c r="AL128" s="433">
        <f>VLOOKUP(AI128,Treatments!$C$7:$J$407,8)</f>
        <v>0</v>
      </c>
      <c r="AM128" s="495">
        <f t="shared" si="63"/>
        <v>0</v>
      </c>
      <c r="AN128" s="160"/>
      <c r="AO128" s="496">
        <f t="shared" si="64"/>
        <v>0</v>
      </c>
      <c r="AP128" s="433">
        <f t="shared" si="68"/>
        <v>0</v>
      </c>
      <c r="AQ128" s="411">
        <f t="shared" si="65"/>
        <v>0</v>
      </c>
      <c r="AR128" s="1"/>
    </row>
    <row r="129" spans="2:44" ht="15.75" x14ac:dyDescent="0.25">
      <c r="B129" s="305">
        <v>345</v>
      </c>
      <c r="C129" s="491" t="str">
        <f>IF(B129&lt;=0,"",VLOOKUP(B129,Treatments!$C$7:$J$407,2))</f>
        <v>No till seeder</v>
      </c>
      <c r="D129" s="306">
        <v>1</v>
      </c>
      <c r="E129" s="433">
        <f>VLOOKUP(B129,Treatments!$C$7:$J$407,8)</f>
        <v>12.3</v>
      </c>
      <c r="F129" s="305">
        <v>1</v>
      </c>
      <c r="G129" s="493">
        <v>1</v>
      </c>
      <c r="H129" s="433">
        <f t="shared" si="69"/>
        <v>12.3</v>
      </c>
      <c r="I129" s="411">
        <f t="shared" si="74"/>
        <v>1107</v>
      </c>
      <c r="L129" s="435"/>
      <c r="M129" s="491" t="str">
        <f>VLOOKUP(L129,Treatments!$C$7:$J$407,2)</f>
        <v>No treatment</v>
      </c>
      <c r="N129" s="492"/>
      <c r="O129" s="433">
        <f>VLOOKUP(L129,Treatments!$C$7:$J$407,8)</f>
        <v>0</v>
      </c>
      <c r="P129" s="435"/>
      <c r="Q129" s="498"/>
      <c r="R129" s="493"/>
      <c r="S129" s="433">
        <f t="shared" si="66"/>
        <v>0</v>
      </c>
      <c r="T129" s="411">
        <f t="shared" si="67"/>
        <v>0</v>
      </c>
      <c r="U129" s="1"/>
      <c r="Y129" s="447">
        <f t="shared" si="75"/>
        <v>360</v>
      </c>
      <c r="Z129" s="491" t="str">
        <f>VLOOKUP(Y129,Treatments!$C$7:$J$407,2)</f>
        <v>No till seeder</v>
      </c>
      <c r="AA129" s="495">
        <f t="shared" si="70"/>
        <v>1</v>
      </c>
      <c r="AB129" s="433">
        <f>VLOOKUP(Y129,Treatments!$C$7:$J$407,8)</f>
        <v>32.082500000000003</v>
      </c>
      <c r="AC129" s="495">
        <f t="shared" si="71"/>
        <v>1</v>
      </c>
      <c r="AD129" s="496">
        <f t="shared" si="71"/>
        <v>1</v>
      </c>
      <c r="AE129" s="433">
        <f t="shared" si="72"/>
        <v>32.082500000000003</v>
      </c>
      <c r="AF129" s="411">
        <f t="shared" si="73"/>
        <v>2887.4250000000002</v>
      </c>
      <c r="AI129" s="447">
        <f t="shared" si="61"/>
        <v>0</v>
      </c>
      <c r="AJ129" s="491" t="str">
        <f>VLOOKUP(AI129,Treatments!$C$7:$J$407,2)</f>
        <v>No treatment</v>
      </c>
      <c r="AK129" s="495">
        <f t="shared" si="62"/>
        <v>0</v>
      </c>
      <c r="AL129" s="433">
        <f>VLOOKUP(AI129,Treatments!$C$7:$J$407,8)</f>
        <v>0</v>
      </c>
      <c r="AM129" s="495">
        <f t="shared" si="63"/>
        <v>0</v>
      </c>
      <c r="AN129" s="498"/>
      <c r="AO129" s="496">
        <f t="shared" si="64"/>
        <v>0</v>
      </c>
      <c r="AP129" s="433">
        <f t="shared" si="68"/>
        <v>0</v>
      </c>
      <c r="AQ129" s="411">
        <f t="shared" si="65"/>
        <v>0</v>
      </c>
      <c r="AR129" s="1"/>
    </row>
    <row r="130" spans="2:44" ht="15.75" x14ac:dyDescent="0.25">
      <c r="B130" s="305">
        <v>284</v>
      </c>
      <c r="C130" s="491" t="str">
        <f>IF(B130&lt;=0,"",VLOOKUP(B130,Treatments!$C$7:$J$407,2))</f>
        <v>Dolichos</v>
      </c>
      <c r="D130" s="306">
        <v>25</v>
      </c>
      <c r="E130" s="433">
        <f>VLOOKUP(B130,Treatments!$C$7:$J$407,8)</f>
        <v>2</v>
      </c>
      <c r="F130" s="305">
        <v>1</v>
      </c>
      <c r="G130" s="493">
        <v>1</v>
      </c>
      <c r="H130" s="433">
        <f t="shared" si="69"/>
        <v>50</v>
      </c>
      <c r="I130" s="411">
        <f t="shared" si="74"/>
        <v>4500</v>
      </c>
      <c r="L130" s="1"/>
      <c r="M130" s="1"/>
      <c r="N130" s="1"/>
      <c r="O130" s="1"/>
      <c r="P130" s="1"/>
      <c r="Q130" s="1"/>
      <c r="R130" s="6"/>
      <c r="S130" s="1"/>
      <c r="T130" s="1"/>
      <c r="U130" s="1"/>
      <c r="Y130" s="447">
        <f t="shared" si="75"/>
        <v>284</v>
      </c>
      <c r="Z130" s="491" t="str">
        <f>VLOOKUP(Y130,Treatments!$C$7:$J$407,2)</f>
        <v>Dolichos</v>
      </c>
      <c r="AA130" s="495">
        <f t="shared" si="70"/>
        <v>25</v>
      </c>
      <c r="AB130" s="433">
        <f>VLOOKUP(Y130,Treatments!$C$7:$J$407,8)</f>
        <v>2</v>
      </c>
      <c r="AC130" s="495">
        <f t="shared" si="71"/>
        <v>1</v>
      </c>
      <c r="AD130" s="496">
        <f t="shared" si="71"/>
        <v>1</v>
      </c>
      <c r="AE130" s="433">
        <f t="shared" si="72"/>
        <v>50</v>
      </c>
      <c r="AF130" s="411">
        <f t="shared" si="73"/>
        <v>4500</v>
      </c>
      <c r="AI130" s="509"/>
      <c r="AJ130" s="1"/>
      <c r="AK130" s="1"/>
      <c r="AL130" s="1"/>
      <c r="AM130" s="1"/>
      <c r="AN130" s="1"/>
      <c r="AO130" s="6"/>
      <c r="AP130" s="1"/>
      <c r="AQ130" s="1"/>
      <c r="AR130" s="1"/>
    </row>
    <row r="131" spans="2:44" ht="15.75" x14ac:dyDescent="0.25">
      <c r="B131" s="305">
        <v>311</v>
      </c>
      <c r="C131" s="491" t="str">
        <f>IF(B131&lt;=0,"",VLOOKUP(B131,Treatments!$C$7:$J$407,2))</f>
        <v>Lablab inoculant</v>
      </c>
      <c r="D131" s="306">
        <v>1</v>
      </c>
      <c r="E131" s="433">
        <f>VLOOKUP(B131,Treatments!$C$7:$J$407,8)</f>
        <v>0.96</v>
      </c>
      <c r="F131" s="305">
        <v>1</v>
      </c>
      <c r="G131" s="493">
        <v>1</v>
      </c>
      <c r="H131" s="433">
        <f t="shared" si="69"/>
        <v>0.96</v>
      </c>
      <c r="I131" s="411">
        <f t="shared" si="74"/>
        <v>86.399999999999991</v>
      </c>
      <c r="L131" s="482" t="s">
        <v>994</v>
      </c>
      <c r="M131" s="483" t="s">
        <v>581</v>
      </c>
      <c r="N131" s="484" t="s">
        <v>616</v>
      </c>
      <c r="O131" s="482" t="s">
        <v>619</v>
      </c>
      <c r="P131" s="485" t="s">
        <v>617</v>
      </c>
      <c r="Q131" s="482"/>
      <c r="R131" s="485" t="s">
        <v>618</v>
      </c>
      <c r="S131" s="487"/>
      <c r="T131" s="487"/>
      <c r="U131" s="1"/>
      <c r="Y131" s="447">
        <f t="shared" si="75"/>
        <v>311</v>
      </c>
      <c r="Z131" s="491" t="str">
        <f>VLOOKUP(Y131,Treatments!$C$7:$J$407,2)</f>
        <v>Lablab inoculant</v>
      </c>
      <c r="AA131" s="495">
        <f t="shared" si="70"/>
        <v>1</v>
      </c>
      <c r="AB131" s="433">
        <f>VLOOKUP(Y131,Treatments!$C$7:$J$407,8)</f>
        <v>0.96</v>
      </c>
      <c r="AC131" s="495">
        <f t="shared" si="71"/>
        <v>1</v>
      </c>
      <c r="AD131" s="496">
        <f t="shared" si="71"/>
        <v>1</v>
      </c>
      <c r="AE131" s="433">
        <f t="shared" si="72"/>
        <v>0.96</v>
      </c>
      <c r="AF131" s="411">
        <f t="shared" si="73"/>
        <v>86.399999999999991</v>
      </c>
      <c r="AI131" s="499" t="s">
        <v>994</v>
      </c>
      <c r="AJ131" s="5" t="s">
        <v>581</v>
      </c>
      <c r="AK131" s="14" t="s">
        <v>616</v>
      </c>
      <c r="AL131" s="6" t="s">
        <v>619</v>
      </c>
      <c r="AM131" s="1" t="s">
        <v>617</v>
      </c>
      <c r="AN131" s="6"/>
      <c r="AO131" s="1" t="s">
        <v>618</v>
      </c>
      <c r="AP131" s="500"/>
      <c r="AQ131" s="62"/>
      <c r="AR131" s="1"/>
    </row>
    <row r="132" spans="2:44" ht="15.75" x14ac:dyDescent="0.25">
      <c r="B132" s="435"/>
      <c r="C132" s="491" t="str">
        <f>IF(B132&lt;=0,"",VLOOKUP(B132,Treatments!$C$7:$J$407,2))</f>
        <v/>
      </c>
      <c r="D132" s="492"/>
      <c r="E132" s="433">
        <f>VLOOKUP(B132,Treatments!$C$7:$J$407,8)</f>
        <v>0</v>
      </c>
      <c r="F132" s="435"/>
      <c r="G132" s="493"/>
      <c r="H132" s="433">
        <f t="shared" si="69"/>
        <v>0</v>
      </c>
      <c r="I132" s="411">
        <f t="shared" si="74"/>
        <v>0</v>
      </c>
      <c r="L132" s="305"/>
      <c r="M132" s="491" t="str">
        <f>VLOOKUP(L132,Treatments!$C$7:$J$407,2)</f>
        <v>No treatment</v>
      </c>
      <c r="N132" s="306"/>
      <c r="O132" s="433">
        <f>VLOOKUP(L132,Treatments!$C$7:$J$407,8)</f>
        <v>0</v>
      </c>
      <c r="P132" s="305"/>
      <c r="Q132" s="494"/>
      <c r="R132" s="308"/>
      <c r="S132" s="433">
        <f t="shared" ref="S132:S137" si="76">N132*O132*P132*R132</f>
        <v>0</v>
      </c>
      <c r="T132" s="411">
        <f t="shared" ref="T132:T138" si="77">S132*$D$9</f>
        <v>0</v>
      </c>
      <c r="U132" s="1"/>
      <c r="Y132" s="447">
        <f t="shared" si="75"/>
        <v>0</v>
      </c>
      <c r="Z132" s="491" t="str">
        <f>VLOOKUP(Y132,Treatments!$C$7:$J$407,2)</f>
        <v>No treatment</v>
      </c>
      <c r="AA132" s="495">
        <f t="shared" si="70"/>
        <v>0</v>
      </c>
      <c r="AB132" s="433">
        <f>VLOOKUP(Y132,Treatments!$C$7:$J$407,8)</f>
        <v>0</v>
      </c>
      <c r="AC132" s="495">
        <f t="shared" si="71"/>
        <v>0</v>
      </c>
      <c r="AD132" s="496">
        <f t="shared" si="71"/>
        <v>0</v>
      </c>
      <c r="AE132" s="433">
        <f t="shared" si="72"/>
        <v>0</v>
      </c>
      <c r="AF132" s="411">
        <f t="shared" si="73"/>
        <v>0</v>
      </c>
      <c r="AI132" s="447">
        <f t="shared" ref="AI132:AI137" si="78">IF(AND(L132&gt;=344,L132&lt;=358),L132+15,L132)</f>
        <v>0</v>
      </c>
      <c r="AJ132" s="491" t="str">
        <f>VLOOKUP(AI132,Treatments!$C$7:$J$407,2)</f>
        <v>No treatment</v>
      </c>
      <c r="AK132" s="495">
        <f t="shared" ref="AK132:AK137" si="79">N132</f>
        <v>0</v>
      </c>
      <c r="AL132" s="433">
        <f>VLOOKUP(AI132,Treatments!$C$7:$J$407,8)</f>
        <v>0</v>
      </c>
      <c r="AM132" s="495">
        <f t="shared" ref="AM132:AM137" si="80">P132</f>
        <v>0</v>
      </c>
      <c r="AN132" s="494"/>
      <c r="AO132" s="496">
        <f t="shared" ref="AO132:AO137" si="81">R132</f>
        <v>0</v>
      </c>
      <c r="AP132" s="433">
        <f t="shared" ref="AP132:AP137" si="82">AK132*AL132*AM132*AO132</f>
        <v>0</v>
      </c>
      <c r="AQ132" s="411">
        <f t="shared" ref="AQ132:AQ137" si="83">AP132*$D$9</f>
        <v>0</v>
      </c>
      <c r="AR132" s="1"/>
    </row>
    <row r="133" spans="2:44" ht="15.75" x14ac:dyDescent="0.25">
      <c r="B133" s="435"/>
      <c r="C133" s="491" t="str">
        <f>IF(B133&lt;=0,"",VLOOKUP(B133,Treatments!$C$7:$J$407,2))</f>
        <v/>
      </c>
      <c r="D133" s="492"/>
      <c r="E133" s="433">
        <f>VLOOKUP(B133,Treatments!$C$7:$J$407,8)</f>
        <v>0</v>
      </c>
      <c r="F133" s="435"/>
      <c r="G133" s="493"/>
      <c r="H133" s="433">
        <f t="shared" si="69"/>
        <v>0</v>
      </c>
      <c r="I133" s="411">
        <f t="shared" si="74"/>
        <v>0</v>
      </c>
      <c r="L133" s="305"/>
      <c r="M133" s="491" t="str">
        <f>VLOOKUP(L133,Treatments!$C$7:$J$407,2)</f>
        <v>No treatment</v>
      </c>
      <c r="N133" s="306"/>
      <c r="O133" s="433">
        <f>VLOOKUP(L133,Treatments!$C$7:$J$407,8)</f>
        <v>0</v>
      </c>
      <c r="P133" s="305"/>
      <c r="Q133" s="160"/>
      <c r="R133" s="308"/>
      <c r="S133" s="433">
        <f t="shared" si="76"/>
        <v>0</v>
      </c>
      <c r="T133" s="411">
        <f t="shared" si="77"/>
        <v>0</v>
      </c>
      <c r="U133" s="1"/>
      <c r="Y133" s="447">
        <f t="shared" si="75"/>
        <v>0</v>
      </c>
      <c r="Z133" s="491" t="str">
        <f>VLOOKUP(Y133,Treatments!$C$7:$J$407,2)</f>
        <v>No treatment</v>
      </c>
      <c r="AA133" s="495">
        <f t="shared" si="70"/>
        <v>0</v>
      </c>
      <c r="AB133" s="433">
        <f>VLOOKUP(Y133,Treatments!$C$7:$J$407,8)</f>
        <v>0</v>
      </c>
      <c r="AC133" s="495">
        <f t="shared" si="71"/>
        <v>0</v>
      </c>
      <c r="AD133" s="496">
        <f t="shared" si="71"/>
        <v>0</v>
      </c>
      <c r="AE133" s="433">
        <f t="shared" si="72"/>
        <v>0</v>
      </c>
      <c r="AF133" s="411">
        <f t="shared" si="73"/>
        <v>0</v>
      </c>
      <c r="AI133" s="447">
        <f t="shared" si="78"/>
        <v>0</v>
      </c>
      <c r="AJ133" s="491" t="str">
        <f>VLOOKUP(AI133,Treatments!$C$7:$J$407,2)</f>
        <v>No treatment</v>
      </c>
      <c r="AK133" s="495">
        <f t="shared" si="79"/>
        <v>0</v>
      </c>
      <c r="AL133" s="433">
        <f>VLOOKUP(AI133,Treatments!$C$7:$J$407,8)</f>
        <v>0</v>
      </c>
      <c r="AM133" s="495">
        <f t="shared" si="80"/>
        <v>0</v>
      </c>
      <c r="AN133" s="160"/>
      <c r="AO133" s="496">
        <f t="shared" si="81"/>
        <v>0</v>
      </c>
      <c r="AP133" s="433">
        <f t="shared" si="82"/>
        <v>0</v>
      </c>
      <c r="AQ133" s="411">
        <f t="shared" si="83"/>
        <v>0</v>
      </c>
      <c r="AR133" s="1"/>
    </row>
    <row r="134" spans="2:44" ht="15.75" x14ac:dyDescent="0.25">
      <c r="B134" s="435"/>
      <c r="C134" s="491" t="str">
        <f>IF(B134&lt;=0,"",VLOOKUP(B134,Treatments!$C$7:$J$407,2))</f>
        <v/>
      </c>
      <c r="D134" s="492"/>
      <c r="E134" s="433">
        <f>VLOOKUP(B134,Treatments!$C$7:$J$407,8)</f>
        <v>0</v>
      </c>
      <c r="F134" s="435"/>
      <c r="G134" s="493"/>
      <c r="H134" s="433">
        <f t="shared" si="69"/>
        <v>0</v>
      </c>
      <c r="I134" s="411">
        <f t="shared" si="74"/>
        <v>0</v>
      </c>
      <c r="L134" s="305"/>
      <c r="M134" s="491" t="str">
        <f>VLOOKUP(L134,Treatments!$C$7:$J$407,2)</f>
        <v>No treatment</v>
      </c>
      <c r="N134" s="306"/>
      <c r="O134" s="433">
        <f>VLOOKUP(L134,Treatments!$C$7:$J$407,8)</f>
        <v>0</v>
      </c>
      <c r="P134" s="305"/>
      <c r="Q134" s="160"/>
      <c r="R134" s="308"/>
      <c r="S134" s="433">
        <f t="shared" si="76"/>
        <v>0</v>
      </c>
      <c r="T134" s="411">
        <f t="shared" si="77"/>
        <v>0</v>
      </c>
      <c r="U134" s="1"/>
      <c r="Y134" s="447">
        <f t="shared" si="75"/>
        <v>0</v>
      </c>
      <c r="Z134" s="491" t="str">
        <f>VLOOKUP(Y134,Treatments!$C$7:$J$407,2)</f>
        <v>No treatment</v>
      </c>
      <c r="AA134" s="495">
        <f t="shared" si="70"/>
        <v>0</v>
      </c>
      <c r="AB134" s="433">
        <f>VLOOKUP(Y134,Treatments!$C$7:$J$407,8)</f>
        <v>0</v>
      </c>
      <c r="AC134" s="495">
        <f t="shared" si="71"/>
        <v>0</v>
      </c>
      <c r="AD134" s="496">
        <f t="shared" si="71"/>
        <v>0</v>
      </c>
      <c r="AE134" s="433">
        <f t="shared" si="72"/>
        <v>0</v>
      </c>
      <c r="AF134" s="411">
        <f t="shared" si="73"/>
        <v>0</v>
      </c>
      <c r="AI134" s="447">
        <f t="shared" si="78"/>
        <v>0</v>
      </c>
      <c r="AJ134" s="491" t="str">
        <f>VLOOKUP(AI134,Treatments!$C$7:$J$407,2)</f>
        <v>No treatment</v>
      </c>
      <c r="AK134" s="495">
        <f t="shared" si="79"/>
        <v>0</v>
      </c>
      <c r="AL134" s="433">
        <f>VLOOKUP(AI134,Treatments!$C$7:$J$407,8)</f>
        <v>0</v>
      </c>
      <c r="AM134" s="495">
        <f t="shared" si="80"/>
        <v>0</v>
      </c>
      <c r="AN134" s="160"/>
      <c r="AO134" s="496">
        <f t="shared" si="81"/>
        <v>0</v>
      </c>
      <c r="AP134" s="433">
        <f t="shared" si="82"/>
        <v>0</v>
      </c>
      <c r="AQ134" s="411">
        <f t="shared" si="83"/>
        <v>0</v>
      </c>
      <c r="AR134" s="1"/>
    </row>
    <row r="135" spans="2:44" ht="15.75" x14ac:dyDescent="0.25">
      <c r="B135" s="435"/>
      <c r="C135" s="491" t="str">
        <f>IF(B135&lt;=0,"",VLOOKUP(B135,Treatments!$C$7:$J$407,2))</f>
        <v/>
      </c>
      <c r="D135" s="492"/>
      <c r="E135" s="433">
        <f>VLOOKUP(B135,Treatments!$C$7:$J$407,8)</f>
        <v>0</v>
      </c>
      <c r="F135" s="435"/>
      <c r="G135" s="493"/>
      <c r="H135" s="433">
        <f t="shared" si="69"/>
        <v>0</v>
      </c>
      <c r="I135" s="411">
        <f t="shared" si="74"/>
        <v>0</v>
      </c>
      <c r="L135" s="305"/>
      <c r="M135" s="491" t="str">
        <f>VLOOKUP(L135,Treatments!$C$7:$J$407,2)</f>
        <v>No treatment</v>
      </c>
      <c r="N135" s="306"/>
      <c r="O135" s="433">
        <f>VLOOKUP(L135,Treatments!$C$7:$J$407,8)</f>
        <v>0</v>
      </c>
      <c r="P135" s="305"/>
      <c r="Q135" s="160"/>
      <c r="R135" s="308"/>
      <c r="S135" s="433">
        <f t="shared" si="76"/>
        <v>0</v>
      </c>
      <c r="T135" s="411">
        <f t="shared" si="77"/>
        <v>0</v>
      </c>
      <c r="U135" s="1"/>
      <c r="Y135" s="447">
        <f t="shared" si="75"/>
        <v>0</v>
      </c>
      <c r="Z135" s="491" t="str">
        <f>VLOOKUP(Y135,Treatments!$C$7:$J$407,2)</f>
        <v>No treatment</v>
      </c>
      <c r="AA135" s="495">
        <f t="shared" si="70"/>
        <v>0</v>
      </c>
      <c r="AB135" s="433">
        <f>VLOOKUP(Y135,Treatments!$C$7:$J$407,8)</f>
        <v>0</v>
      </c>
      <c r="AC135" s="495">
        <f t="shared" si="71"/>
        <v>0</v>
      </c>
      <c r="AD135" s="496">
        <f t="shared" si="71"/>
        <v>0</v>
      </c>
      <c r="AE135" s="433">
        <f t="shared" si="72"/>
        <v>0</v>
      </c>
      <c r="AF135" s="411">
        <f t="shared" si="73"/>
        <v>0</v>
      </c>
      <c r="AI135" s="447">
        <f t="shared" si="78"/>
        <v>0</v>
      </c>
      <c r="AJ135" s="491" t="str">
        <f>VLOOKUP(AI135,Treatments!$C$7:$J$407,2)</f>
        <v>No treatment</v>
      </c>
      <c r="AK135" s="495">
        <f t="shared" si="79"/>
        <v>0</v>
      </c>
      <c r="AL135" s="433">
        <f>VLOOKUP(AI135,Treatments!$C$7:$J$407,8)</f>
        <v>0</v>
      </c>
      <c r="AM135" s="495">
        <f t="shared" si="80"/>
        <v>0</v>
      </c>
      <c r="AN135" s="160"/>
      <c r="AO135" s="496">
        <f t="shared" si="81"/>
        <v>0</v>
      </c>
      <c r="AP135" s="433">
        <f t="shared" si="82"/>
        <v>0</v>
      </c>
      <c r="AQ135" s="411">
        <f t="shared" si="83"/>
        <v>0</v>
      </c>
      <c r="AR135" s="1"/>
    </row>
    <row r="136" spans="2:44" ht="15.75" x14ac:dyDescent="0.25">
      <c r="B136" s="435"/>
      <c r="C136" s="491" t="str">
        <f>IF(B136&lt;=0,"",VLOOKUP(B136,Treatments!$C$7:$J$407,2))</f>
        <v/>
      </c>
      <c r="D136" s="492"/>
      <c r="E136" s="433">
        <f>VLOOKUP(B136,Treatments!$C$7:$J$407,8)</f>
        <v>0</v>
      </c>
      <c r="F136" s="435"/>
      <c r="G136" s="493"/>
      <c r="H136" s="433">
        <f t="shared" si="69"/>
        <v>0</v>
      </c>
      <c r="I136" s="411">
        <f t="shared" si="74"/>
        <v>0</v>
      </c>
      <c r="L136" s="435"/>
      <c r="M136" s="491" t="str">
        <f>VLOOKUP(L136,Treatments!$C$7:$J$407,2)</f>
        <v>No treatment</v>
      </c>
      <c r="N136" s="492"/>
      <c r="O136" s="433">
        <f>VLOOKUP(L136,Treatments!$C$7:$J$407,8)</f>
        <v>0</v>
      </c>
      <c r="P136" s="435"/>
      <c r="Q136" s="160"/>
      <c r="R136" s="308"/>
      <c r="S136" s="433">
        <f t="shared" si="76"/>
        <v>0</v>
      </c>
      <c r="T136" s="411">
        <f t="shared" si="77"/>
        <v>0</v>
      </c>
      <c r="U136" s="1"/>
      <c r="Y136" s="447">
        <f t="shared" si="75"/>
        <v>0</v>
      </c>
      <c r="Z136" s="491" t="str">
        <f>VLOOKUP(Y136,Treatments!$C$7:$J$407,2)</f>
        <v>No treatment</v>
      </c>
      <c r="AA136" s="495">
        <f t="shared" si="70"/>
        <v>0</v>
      </c>
      <c r="AB136" s="433">
        <f>VLOOKUP(Y136,Treatments!$C$7:$J$407,8)</f>
        <v>0</v>
      </c>
      <c r="AC136" s="495">
        <f t="shared" si="71"/>
        <v>0</v>
      </c>
      <c r="AD136" s="496">
        <f t="shared" si="71"/>
        <v>0</v>
      </c>
      <c r="AE136" s="433">
        <f t="shared" si="72"/>
        <v>0</v>
      </c>
      <c r="AF136" s="411">
        <f t="shared" si="73"/>
        <v>0</v>
      </c>
      <c r="AI136" s="447">
        <f t="shared" si="78"/>
        <v>0</v>
      </c>
      <c r="AJ136" s="491" t="str">
        <f>VLOOKUP(AI136,Treatments!$C$7:$J$407,2)</f>
        <v>No treatment</v>
      </c>
      <c r="AK136" s="495">
        <f t="shared" si="79"/>
        <v>0</v>
      </c>
      <c r="AL136" s="433">
        <f>VLOOKUP(AI136,Treatments!$C$7:$J$407,8)</f>
        <v>0</v>
      </c>
      <c r="AM136" s="495">
        <f t="shared" si="80"/>
        <v>0</v>
      </c>
      <c r="AN136" s="160"/>
      <c r="AO136" s="496">
        <f t="shared" si="81"/>
        <v>0</v>
      </c>
      <c r="AP136" s="433">
        <f t="shared" si="82"/>
        <v>0</v>
      </c>
      <c r="AQ136" s="411">
        <f t="shared" si="83"/>
        <v>0</v>
      </c>
      <c r="AR136" s="1"/>
    </row>
    <row r="137" spans="2:44" x14ac:dyDescent="0.2">
      <c r="B137" s="435"/>
      <c r="C137" s="491" t="str">
        <f>IF(B137&lt;=0,"",VLOOKUP(B137,Treatments!$C$7:$J$407,2))</f>
        <v/>
      </c>
      <c r="D137" s="492"/>
      <c r="E137" s="433">
        <f>VLOOKUP(B137,Treatments!$C$7:$J$407,8)</f>
        <v>0</v>
      </c>
      <c r="F137" s="435"/>
      <c r="G137" s="493"/>
      <c r="H137" s="433">
        <f t="shared" si="69"/>
        <v>0</v>
      </c>
      <c r="I137" s="411">
        <f t="shared" si="74"/>
        <v>0</v>
      </c>
      <c r="L137" s="435"/>
      <c r="M137" s="491" t="str">
        <f>VLOOKUP(L137,Treatments!$C$7:$J$407,2)</f>
        <v>No treatment</v>
      </c>
      <c r="N137" s="492"/>
      <c r="O137" s="433">
        <f>VLOOKUP(L137,Treatments!$C$7:$J$407,8)</f>
        <v>0</v>
      </c>
      <c r="P137" s="435"/>
      <c r="Q137" s="498"/>
      <c r="R137" s="493"/>
      <c r="S137" s="433">
        <f t="shared" si="76"/>
        <v>0</v>
      </c>
      <c r="T137" s="411">
        <f t="shared" si="77"/>
        <v>0</v>
      </c>
      <c r="U137" s="1"/>
      <c r="Y137" s="447">
        <f t="shared" si="75"/>
        <v>0</v>
      </c>
      <c r="Z137" s="491" t="str">
        <f>VLOOKUP(Y137,Treatments!$C$7:$J$407,2)</f>
        <v>No treatment</v>
      </c>
      <c r="AA137" s="495">
        <f t="shared" si="70"/>
        <v>0</v>
      </c>
      <c r="AB137" s="433">
        <f>VLOOKUP(Y137,Treatments!$C$7:$J$407,8)</f>
        <v>0</v>
      </c>
      <c r="AC137" s="495">
        <f t="shared" si="71"/>
        <v>0</v>
      </c>
      <c r="AD137" s="496">
        <f t="shared" si="71"/>
        <v>0</v>
      </c>
      <c r="AE137" s="433">
        <f t="shared" si="72"/>
        <v>0</v>
      </c>
      <c r="AF137" s="411">
        <f t="shared" si="73"/>
        <v>0</v>
      </c>
      <c r="AI137" s="447">
        <f t="shared" si="78"/>
        <v>0</v>
      </c>
      <c r="AJ137" s="491" t="str">
        <f>VLOOKUP(AI137,Treatments!$C$7:$J$407,2)</f>
        <v>No treatment</v>
      </c>
      <c r="AK137" s="495">
        <f t="shared" si="79"/>
        <v>0</v>
      </c>
      <c r="AL137" s="433">
        <f>VLOOKUP(AI137,Treatments!$C$7:$J$407,8)</f>
        <v>0</v>
      </c>
      <c r="AM137" s="495">
        <f t="shared" si="80"/>
        <v>0</v>
      </c>
      <c r="AN137" s="498"/>
      <c r="AO137" s="496">
        <f t="shared" si="81"/>
        <v>0</v>
      </c>
      <c r="AP137" s="433">
        <f t="shared" si="82"/>
        <v>0</v>
      </c>
      <c r="AQ137" s="411">
        <f t="shared" si="83"/>
        <v>0</v>
      </c>
      <c r="AR137" s="1"/>
    </row>
    <row r="138" spans="2:44" ht="15.75" x14ac:dyDescent="0.25">
      <c r="B138" s="435"/>
      <c r="C138" s="491" t="str">
        <f>IF(B138&lt;=0,"",VLOOKUP(B138,Treatments!$C$7:$J$407,2))</f>
        <v/>
      </c>
      <c r="D138" s="492"/>
      <c r="E138" s="433">
        <f>VLOOKUP(B138,Treatments!$C$7:$J$407,8)</f>
        <v>0</v>
      </c>
      <c r="F138" s="435"/>
      <c r="G138" s="493"/>
      <c r="H138" s="433">
        <f t="shared" si="69"/>
        <v>0</v>
      </c>
      <c r="I138" s="411">
        <f t="shared" si="74"/>
        <v>0</v>
      </c>
      <c r="L138" s="1"/>
      <c r="M138" s="14"/>
      <c r="N138" s="13" t="s">
        <v>584</v>
      </c>
      <c r="O138" s="6"/>
      <c r="P138" s="1"/>
      <c r="Q138" s="6"/>
      <c r="R138" s="1"/>
      <c r="S138" s="510">
        <f>SUM(S110:S137)</f>
        <v>0</v>
      </c>
      <c r="T138" s="411">
        <f t="shared" si="77"/>
        <v>0</v>
      </c>
      <c r="U138" s="1"/>
      <c r="Y138" s="447">
        <f t="shared" si="75"/>
        <v>0</v>
      </c>
      <c r="Z138" s="491" t="str">
        <f>VLOOKUP(Y138,Treatments!$C$7:$J$407,2)</f>
        <v>No treatment</v>
      </c>
      <c r="AA138" s="495">
        <f t="shared" si="70"/>
        <v>0</v>
      </c>
      <c r="AB138" s="433">
        <f>VLOOKUP(Y138,Treatments!$C$7:$J$407,8)</f>
        <v>0</v>
      </c>
      <c r="AC138" s="495">
        <f t="shared" si="71"/>
        <v>0</v>
      </c>
      <c r="AD138" s="496">
        <f t="shared" si="71"/>
        <v>0</v>
      </c>
      <c r="AE138" s="433">
        <f t="shared" si="72"/>
        <v>0</v>
      </c>
      <c r="AF138" s="411">
        <f t="shared" si="73"/>
        <v>0</v>
      </c>
      <c r="AI138" s="1"/>
      <c r="AJ138" s="14"/>
      <c r="AK138" s="13" t="s">
        <v>584</v>
      </c>
      <c r="AL138" s="6"/>
      <c r="AM138" s="1"/>
      <c r="AN138" s="6"/>
      <c r="AO138" s="1"/>
      <c r="AP138" s="510">
        <f>SUM(AP110:AP137)</f>
        <v>0</v>
      </c>
      <c r="AQ138" s="510">
        <f>SUM(AQ110:AQ137)</f>
        <v>0</v>
      </c>
      <c r="AR138" s="1"/>
    </row>
    <row r="139" spans="2:44" x14ac:dyDescent="0.2">
      <c r="B139" s="1"/>
      <c r="C139" s="1"/>
      <c r="D139" s="1"/>
      <c r="E139" s="1"/>
      <c r="F139" s="1"/>
      <c r="G139" s="6"/>
      <c r="H139" s="1"/>
      <c r="I139" s="1"/>
      <c r="L139" s="1"/>
      <c r="M139" s="1"/>
      <c r="N139" s="1"/>
      <c r="O139" s="1"/>
      <c r="P139" s="1"/>
      <c r="Q139" s="1"/>
      <c r="R139" s="1"/>
      <c r="S139" s="1"/>
      <c r="T139" s="1"/>
      <c r="U139" s="1"/>
      <c r="Y139" s="1"/>
      <c r="Z139" s="1"/>
      <c r="AA139" s="6"/>
      <c r="AB139" s="6"/>
      <c r="AC139" s="6"/>
      <c r="AD139" s="6"/>
      <c r="AE139" s="6"/>
      <c r="AF139" s="6"/>
      <c r="AI139" s="1"/>
      <c r="AJ139" s="1"/>
      <c r="AK139" s="1"/>
      <c r="AL139" s="1"/>
      <c r="AM139" s="1"/>
      <c r="AN139" s="1"/>
      <c r="AO139" s="1"/>
      <c r="AP139" s="1"/>
      <c r="AQ139" s="1"/>
      <c r="AR139" s="1"/>
    </row>
    <row r="140" spans="2:44" ht="15.75" x14ac:dyDescent="0.25">
      <c r="B140" s="501" t="s">
        <v>994</v>
      </c>
      <c r="C140" s="502" t="s">
        <v>581</v>
      </c>
      <c r="D140" s="503" t="s">
        <v>616</v>
      </c>
      <c r="E140" s="501" t="s">
        <v>619</v>
      </c>
      <c r="F140" s="504" t="s">
        <v>617</v>
      </c>
      <c r="G140" s="504" t="s">
        <v>618</v>
      </c>
      <c r="H140" s="505"/>
      <c r="I140" s="506"/>
      <c r="L140" s="1"/>
      <c r="M140" s="1"/>
      <c r="N140" s="1"/>
      <c r="O140" s="1"/>
      <c r="P140" s="1"/>
      <c r="Q140" s="1"/>
      <c r="R140" s="1"/>
      <c r="S140" s="511"/>
      <c r="T140" s="512"/>
      <c r="U140" s="1"/>
      <c r="Y140" s="6" t="s">
        <v>994</v>
      </c>
      <c r="Z140" s="5" t="s">
        <v>581</v>
      </c>
      <c r="AA140" s="6" t="s">
        <v>616</v>
      </c>
      <c r="AB140" s="6" t="s">
        <v>619</v>
      </c>
      <c r="AC140" s="6" t="s">
        <v>617</v>
      </c>
      <c r="AD140" s="6" t="s">
        <v>618</v>
      </c>
      <c r="AE140" s="507"/>
      <c r="AF140" s="508"/>
      <c r="AI140" s="1"/>
      <c r="AJ140" s="1"/>
      <c r="AK140" s="1"/>
      <c r="AL140" s="1"/>
      <c r="AM140" s="1"/>
      <c r="AN140" s="1"/>
      <c r="AO140" s="1"/>
      <c r="AP140" s="511"/>
      <c r="AQ140" s="512"/>
      <c r="AR140" s="1"/>
    </row>
    <row r="141" spans="2:44" ht="15.75" x14ac:dyDescent="0.25">
      <c r="B141" s="305"/>
      <c r="C141" s="491" t="str">
        <f>IF(B141&lt;=0,"",VLOOKUP(B141,Treatments!$C$7:$J$407,2))</f>
        <v/>
      </c>
      <c r="D141" s="306"/>
      <c r="E141" s="433">
        <f>VLOOKUP(B141,Treatments!$C$7:$J$407,8)</f>
        <v>0</v>
      </c>
      <c r="F141" s="305"/>
      <c r="G141" s="308"/>
      <c r="H141" s="433">
        <f t="shared" ref="H141:H147" si="84">D141*E141*F141*G141</f>
        <v>0</v>
      </c>
      <c r="I141" s="411">
        <f>H141*$D$9</f>
        <v>0</v>
      </c>
      <c r="L141" s="1"/>
      <c r="N141" s="1"/>
      <c r="O141" s="1"/>
      <c r="P141" s="1"/>
      <c r="Q141" s="1"/>
      <c r="R141" s="12" t="s">
        <v>794</v>
      </c>
      <c r="S141" s="513"/>
      <c r="T141" s="510">
        <f>S141*$D$9</f>
        <v>0</v>
      </c>
      <c r="U141" s="1"/>
      <c r="Y141" s="447">
        <f t="shared" ref="Y141:Y146" si="85">IF(AND(B141&gt;=344,B141&lt;=358),B141+15,B141)</f>
        <v>0</v>
      </c>
      <c r="Z141" s="491" t="str">
        <f>VLOOKUP(Y141,Treatments!$C$7:$J$407,2)</f>
        <v>No treatment</v>
      </c>
      <c r="AA141" s="495">
        <f>D141</f>
        <v>0</v>
      </c>
      <c r="AB141" s="433">
        <f>VLOOKUP(Y141,Treatments!$C$7:$J$407,8)</f>
        <v>0</v>
      </c>
      <c r="AC141" s="495">
        <f>F141</f>
        <v>0</v>
      </c>
      <c r="AD141" s="496">
        <f t="shared" ref="AD141:AD147" si="86">G141</f>
        <v>0</v>
      </c>
      <c r="AE141" s="433">
        <f t="shared" ref="AE141:AE147" si="87">AA141*AB141*AC141*AD141</f>
        <v>0</v>
      </c>
      <c r="AF141" s="411">
        <f t="shared" ref="AF141:AF147" si="88">AE141*$D$9</f>
        <v>0</v>
      </c>
      <c r="AI141" s="1"/>
      <c r="AK141" s="1"/>
      <c r="AL141" s="1"/>
      <c r="AM141" s="1"/>
      <c r="AN141" s="1"/>
      <c r="AO141" s="12" t="s">
        <v>794</v>
      </c>
      <c r="AP141" s="510">
        <f>S141</f>
        <v>0</v>
      </c>
      <c r="AQ141" s="510">
        <f>AP141*$D$9</f>
        <v>0</v>
      </c>
      <c r="AR141" s="1"/>
    </row>
    <row r="142" spans="2:44" ht="15.75" x14ac:dyDescent="0.25">
      <c r="B142" s="305">
        <v>344</v>
      </c>
      <c r="C142" s="491" t="str">
        <f>IF(B142&lt;=0,"",VLOOKUP(B142,Treatments!$C$7:$J$407,2))</f>
        <v>Linkage spray rig</v>
      </c>
      <c r="D142" s="306">
        <v>1</v>
      </c>
      <c r="E142" s="433">
        <f>VLOOKUP(B142,Treatments!$C$7:$J$407,8)</f>
        <v>3.3779411764705882</v>
      </c>
      <c r="F142" s="305">
        <v>1</v>
      </c>
      <c r="G142" s="308">
        <v>1</v>
      </c>
      <c r="H142" s="433">
        <f t="shared" si="84"/>
        <v>3.3779411764705882</v>
      </c>
      <c r="I142" s="411">
        <f t="shared" ref="I142:I147" si="89">H142*$D$9</f>
        <v>304.01470588235293</v>
      </c>
      <c r="L142" s="1"/>
      <c r="M142" s="1"/>
      <c r="N142" s="1"/>
      <c r="O142" s="1"/>
      <c r="P142" s="1"/>
      <c r="Q142" s="12" t="s">
        <v>585</v>
      </c>
      <c r="R142" s="514">
        <v>0.05</v>
      </c>
      <c r="S142" s="510">
        <f>S141+S140+S138</f>
        <v>0</v>
      </c>
      <c r="T142" s="510">
        <f>T141+T140+T138</f>
        <v>0</v>
      </c>
      <c r="U142" s="1"/>
      <c r="Y142" s="447">
        <f t="shared" si="85"/>
        <v>359</v>
      </c>
      <c r="Z142" s="491" t="str">
        <f>VLOOKUP(Y142,Treatments!$C$7:$J$407,2)</f>
        <v>Linkage spray rig</v>
      </c>
      <c r="AA142" s="495">
        <f t="shared" ref="AA142:AA147" si="90">D142</f>
        <v>1</v>
      </c>
      <c r="AB142" s="433">
        <f>VLOOKUP(Y142,Treatments!$C$7:$J$407,8)</f>
        <v>8.01</v>
      </c>
      <c r="AC142" s="495">
        <f t="shared" ref="AC142:AC147" si="91">F142</f>
        <v>1</v>
      </c>
      <c r="AD142" s="496">
        <f t="shared" si="86"/>
        <v>1</v>
      </c>
      <c r="AE142" s="433">
        <f t="shared" si="87"/>
        <v>8.01</v>
      </c>
      <c r="AF142" s="411">
        <f t="shared" si="88"/>
        <v>720.9</v>
      </c>
      <c r="AI142" s="1"/>
      <c r="AJ142" s="1"/>
      <c r="AK142" s="1"/>
      <c r="AL142" s="1"/>
      <c r="AM142" s="1"/>
      <c r="AN142" s="12" t="s">
        <v>585</v>
      </c>
      <c r="AO142" s="496">
        <f>R142</f>
        <v>0.05</v>
      </c>
      <c r="AP142" s="510">
        <f>AP141+AP140+AP138</f>
        <v>0</v>
      </c>
      <c r="AQ142" s="510">
        <f>AQ141+AQ140+AQ138</f>
        <v>0</v>
      </c>
      <c r="AR142" s="1"/>
    </row>
    <row r="143" spans="2:44" ht="15.75" x14ac:dyDescent="0.25">
      <c r="B143" s="305">
        <v>171</v>
      </c>
      <c r="C143" s="491" t="str">
        <f>IF(B143&lt;=0,"",VLOOKUP(B143,Treatments!$C$7:$J$407,2))</f>
        <v xml:space="preserve">Spinnaker </v>
      </c>
      <c r="D143" s="306">
        <v>0.1</v>
      </c>
      <c r="E143" s="433">
        <f>VLOOKUP(B143,Treatments!$C$7:$J$407,8)</f>
        <v>255</v>
      </c>
      <c r="F143" s="305">
        <v>1</v>
      </c>
      <c r="G143" s="308">
        <v>1</v>
      </c>
      <c r="H143" s="433">
        <f t="shared" si="84"/>
        <v>25.5</v>
      </c>
      <c r="I143" s="411">
        <f t="shared" si="89"/>
        <v>2295</v>
      </c>
      <c r="L143" s="1"/>
      <c r="N143" s="1"/>
      <c r="O143" s="17" t="s">
        <v>586</v>
      </c>
      <c r="P143" s="12" t="s">
        <v>587</v>
      </c>
      <c r="Q143" s="420">
        <v>30</v>
      </c>
      <c r="R143" s="1" t="s">
        <v>588</v>
      </c>
      <c r="S143" s="511">
        <f>PMT(R142,Q143,S142)*-1</f>
        <v>0</v>
      </c>
      <c r="T143" s="1" t="s">
        <v>589</v>
      </c>
      <c r="U143" s="1"/>
      <c r="Y143" s="447">
        <f t="shared" si="85"/>
        <v>171</v>
      </c>
      <c r="Z143" s="491" t="str">
        <f>VLOOKUP(Y143,Treatments!$C$7:$J$407,2)</f>
        <v xml:space="preserve">Spinnaker </v>
      </c>
      <c r="AA143" s="495">
        <f t="shared" si="90"/>
        <v>0.1</v>
      </c>
      <c r="AB143" s="433">
        <f>VLOOKUP(Y143,Treatments!$C$7:$J$407,8)</f>
        <v>255</v>
      </c>
      <c r="AC143" s="495">
        <f t="shared" si="91"/>
        <v>1</v>
      </c>
      <c r="AD143" s="496">
        <f t="shared" si="86"/>
        <v>1</v>
      </c>
      <c r="AE143" s="433">
        <f t="shared" si="87"/>
        <v>25.5</v>
      </c>
      <c r="AF143" s="411">
        <f t="shared" si="88"/>
        <v>2295</v>
      </c>
      <c r="AI143" s="1"/>
      <c r="AK143" s="1"/>
      <c r="AL143" s="17" t="s">
        <v>586</v>
      </c>
      <c r="AM143" s="12" t="s">
        <v>587</v>
      </c>
      <c r="AN143" s="447">
        <f>Q143</f>
        <v>30</v>
      </c>
      <c r="AO143" s="1" t="s">
        <v>588</v>
      </c>
      <c r="AP143" s="511">
        <f>PMT(AO142,AN143,AP142)*-1</f>
        <v>0</v>
      </c>
      <c r="AQ143" s="1" t="s">
        <v>589</v>
      </c>
      <c r="AR143" s="1"/>
    </row>
    <row r="144" spans="2:44" ht="15.75" x14ac:dyDescent="0.25">
      <c r="B144" s="305"/>
      <c r="C144" s="491" t="str">
        <f>IF(B144&lt;=0,"",VLOOKUP(B144,Treatments!$C$7:$J$407,2))</f>
        <v/>
      </c>
      <c r="D144" s="492"/>
      <c r="E144" s="433">
        <f>VLOOKUP(B144,Treatments!$C$7:$J$407,8)</f>
        <v>0</v>
      </c>
      <c r="F144" s="435"/>
      <c r="G144" s="493"/>
      <c r="H144" s="433">
        <f t="shared" si="84"/>
        <v>0</v>
      </c>
      <c r="I144" s="411">
        <f t="shared" si="89"/>
        <v>0</v>
      </c>
      <c r="L144" s="1"/>
      <c r="N144" s="1"/>
      <c r="T144" s="1"/>
      <c r="U144" s="1"/>
      <c r="Y144" s="447">
        <f t="shared" si="85"/>
        <v>0</v>
      </c>
      <c r="Z144" s="491" t="str">
        <f>VLOOKUP(Y144,Treatments!$C$7:$J$407,2)</f>
        <v>No treatment</v>
      </c>
      <c r="AA144" s="495">
        <f t="shared" si="90"/>
        <v>0</v>
      </c>
      <c r="AB144" s="433">
        <f>VLOOKUP(Y144,Treatments!$C$7:$J$407,8)</f>
        <v>0</v>
      </c>
      <c r="AC144" s="495">
        <f t="shared" si="91"/>
        <v>0</v>
      </c>
      <c r="AD144" s="496">
        <f t="shared" si="86"/>
        <v>0</v>
      </c>
      <c r="AE144" s="433">
        <f t="shared" si="87"/>
        <v>0</v>
      </c>
      <c r="AF144" s="411">
        <f t="shared" si="88"/>
        <v>0</v>
      </c>
      <c r="AI144" s="1"/>
      <c r="AJ144" s="1"/>
      <c r="AK144" s="1"/>
      <c r="AL144" s="1"/>
      <c r="AM144" s="1"/>
      <c r="AN144" s="1"/>
      <c r="AO144" s="1"/>
      <c r="AP144" s="1"/>
      <c r="AQ144" s="1"/>
      <c r="AR144" s="1"/>
    </row>
    <row r="145" spans="2:44" ht="15.75" x14ac:dyDescent="0.25">
      <c r="B145" s="305"/>
      <c r="C145" s="491" t="str">
        <f>IF(B145&lt;=0,"",VLOOKUP(B145,Treatments!$C$7:$J$407,2))</f>
        <v/>
      </c>
      <c r="D145" s="492"/>
      <c r="E145" s="433">
        <f>VLOOKUP(B145,Treatments!$C$7:$J$407,8)</f>
        <v>0</v>
      </c>
      <c r="F145" s="435"/>
      <c r="G145" s="493"/>
      <c r="H145" s="433">
        <f t="shared" si="84"/>
        <v>0</v>
      </c>
      <c r="I145" s="411">
        <f t="shared" si="89"/>
        <v>0</v>
      </c>
      <c r="L145" s="1"/>
      <c r="M145" s="1"/>
      <c r="N145" s="1"/>
      <c r="O145" s="1"/>
      <c r="P145" s="1"/>
      <c r="Q145" s="1"/>
      <c r="R145" s="1"/>
      <c r="S145" s="1"/>
      <c r="T145" s="1"/>
      <c r="U145" s="1"/>
      <c r="Y145" s="447">
        <f t="shared" si="85"/>
        <v>0</v>
      </c>
      <c r="Z145" s="491" t="str">
        <f>VLOOKUP(Y145,Treatments!$C$7:$J$407,2)</f>
        <v>No treatment</v>
      </c>
      <c r="AA145" s="495">
        <f t="shared" si="90"/>
        <v>0</v>
      </c>
      <c r="AB145" s="433">
        <f>VLOOKUP(Y145,Treatments!$C$7:$J$407,8)</f>
        <v>0</v>
      </c>
      <c r="AC145" s="495">
        <f t="shared" si="91"/>
        <v>0</v>
      </c>
      <c r="AD145" s="496">
        <f t="shared" si="86"/>
        <v>0</v>
      </c>
      <c r="AE145" s="433">
        <f t="shared" si="87"/>
        <v>0</v>
      </c>
      <c r="AF145" s="411">
        <f t="shared" si="88"/>
        <v>0</v>
      </c>
      <c r="AI145" s="1"/>
      <c r="AJ145" s="1"/>
      <c r="AK145" s="1"/>
      <c r="AL145" s="1"/>
      <c r="AM145" s="1"/>
      <c r="AN145" s="1"/>
      <c r="AO145" s="1"/>
      <c r="AP145" s="1"/>
      <c r="AQ145" s="1"/>
      <c r="AR145" s="1"/>
    </row>
    <row r="146" spans="2:44" x14ac:dyDescent="0.2">
      <c r="B146" s="435"/>
      <c r="C146" s="491" t="str">
        <f>IF(B146&lt;=0,"",VLOOKUP(B146,Treatments!$C$7:$J$407,2))</f>
        <v/>
      </c>
      <c r="D146" s="492"/>
      <c r="E146" s="433">
        <f>VLOOKUP(B146,Treatments!$C$7:$J$407,8)</f>
        <v>0</v>
      </c>
      <c r="F146" s="435"/>
      <c r="G146" s="493"/>
      <c r="H146" s="433">
        <f t="shared" si="84"/>
        <v>0</v>
      </c>
      <c r="I146" s="411">
        <f t="shared" si="89"/>
        <v>0</v>
      </c>
      <c r="L146" s="1"/>
      <c r="M146" s="1"/>
      <c r="N146" s="1"/>
      <c r="O146" s="1"/>
      <c r="P146" s="1"/>
      <c r="Q146" s="1"/>
      <c r="R146" s="1"/>
      <c r="S146" s="1"/>
      <c r="T146" s="1"/>
      <c r="U146" s="1"/>
      <c r="Y146" s="447">
        <f t="shared" si="85"/>
        <v>0</v>
      </c>
      <c r="Z146" s="491" t="str">
        <f>VLOOKUP(Y146,Treatments!$C$7:$J$407,2)</f>
        <v>No treatment</v>
      </c>
      <c r="AA146" s="495">
        <f t="shared" si="90"/>
        <v>0</v>
      </c>
      <c r="AB146" s="433">
        <f>VLOOKUP(Y146,Treatments!$C$7:$J$407,8)</f>
        <v>0</v>
      </c>
      <c r="AC146" s="495">
        <f t="shared" si="91"/>
        <v>0</v>
      </c>
      <c r="AD146" s="496">
        <f t="shared" si="86"/>
        <v>0</v>
      </c>
      <c r="AE146" s="433">
        <f t="shared" si="87"/>
        <v>0</v>
      </c>
      <c r="AF146" s="411">
        <f t="shared" si="88"/>
        <v>0</v>
      </c>
      <c r="AI146" s="1"/>
      <c r="AJ146" s="1"/>
      <c r="AK146" s="1"/>
      <c r="AL146" s="1"/>
      <c r="AM146" s="1"/>
      <c r="AN146" s="1"/>
      <c r="AO146" s="1"/>
      <c r="AP146" s="1"/>
      <c r="AQ146" s="1"/>
      <c r="AR146" s="1"/>
    </row>
    <row r="147" spans="2:44" x14ac:dyDescent="0.2">
      <c r="B147" s="1"/>
      <c r="C147" s="1" t="s">
        <v>586</v>
      </c>
      <c r="D147" s="492"/>
      <c r="E147" s="433">
        <f>S143</f>
        <v>0</v>
      </c>
      <c r="F147" s="435"/>
      <c r="G147" s="493"/>
      <c r="H147" s="433">
        <f t="shared" si="84"/>
        <v>0</v>
      </c>
      <c r="I147" s="411">
        <f t="shared" si="89"/>
        <v>0</v>
      </c>
      <c r="L147" s="1"/>
      <c r="M147" s="1"/>
      <c r="N147" s="1"/>
      <c r="O147" s="1"/>
      <c r="P147" s="1"/>
      <c r="Q147" s="1"/>
      <c r="R147" s="1"/>
      <c r="S147" s="1"/>
      <c r="T147" s="1"/>
      <c r="U147" s="1"/>
      <c r="Y147" s="1"/>
      <c r="Z147" s="1" t="s">
        <v>586</v>
      </c>
      <c r="AA147" s="495">
        <f t="shared" si="90"/>
        <v>0</v>
      </c>
      <c r="AB147" s="433">
        <f>AP143</f>
        <v>0</v>
      </c>
      <c r="AC147" s="495">
        <f t="shared" si="91"/>
        <v>0</v>
      </c>
      <c r="AD147" s="496">
        <f t="shared" si="86"/>
        <v>0</v>
      </c>
      <c r="AE147" s="433">
        <f t="shared" si="87"/>
        <v>0</v>
      </c>
      <c r="AF147" s="411">
        <f t="shared" si="88"/>
        <v>0</v>
      </c>
      <c r="AI147" s="1"/>
      <c r="AJ147" s="1"/>
      <c r="AK147" s="1"/>
      <c r="AL147" s="1"/>
      <c r="AM147" s="1"/>
      <c r="AN147" s="1"/>
      <c r="AO147" s="1"/>
      <c r="AP147" s="1"/>
      <c r="AQ147" s="1"/>
      <c r="AR147" s="1"/>
    </row>
    <row r="148" spans="2:44" ht="15.75" x14ac:dyDescent="0.25">
      <c r="B148" s="515"/>
      <c r="C148" s="515"/>
      <c r="D148" s="515"/>
      <c r="E148" s="516"/>
      <c r="F148" s="517" t="s">
        <v>796</v>
      </c>
      <c r="G148" s="515"/>
      <c r="H148" s="510">
        <f>SUM(H110:H147)</f>
        <v>169.51396638655464</v>
      </c>
      <c r="I148" s="510">
        <f>SUM(I110:I147)</f>
        <v>15256.256974789916</v>
      </c>
      <c r="L148" s="1" t="s">
        <v>791</v>
      </c>
      <c r="M148" s="1"/>
      <c r="N148" s="1"/>
      <c r="O148" s="1"/>
      <c r="P148" s="1"/>
      <c r="Q148" s="1"/>
      <c r="R148" s="1"/>
      <c r="S148" s="1"/>
      <c r="T148" s="1"/>
      <c r="U148" s="1"/>
      <c r="Y148" s="515"/>
      <c r="Z148" s="515"/>
      <c r="AA148" s="518"/>
      <c r="AB148" s="516"/>
      <c r="AC148" s="518" t="s">
        <v>796</v>
      </c>
      <c r="AD148" s="518"/>
      <c r="AE148" s="510">
        <f>SUM(AE110:AE147)</f>
        <v>248.26835714285716</v>
      </c>
      <c r="AF148" s="510">
        <f>SUM(AF110:AF147)</f>
        <v>22344.152142857147</v>
      </c>
      <c r="AI148" s="1"/>
      <c r="AJ148" s="1"/>
      <c r="AK148" s="1"/>
      <c r="AL148" s="1"/>
      <c r="AM148" s="1"/>
      <c r="AN148" s="1"/>
      <c r="AO148" s="1"/>
      <c r="AP148" s="1"/>
      <c r="AQ148" s="1"/>
      <c r="AR148" s="1"/>
    </row>
    <row r="149" spans="2:44" x14ac:dyDescent="0.2">
      <c r="B149" s="515"/>
      <c r="D149" s="515"/>
      <c r="E149" s="516"/>
      <c r="F149" s="515"/>
      <c r="G149" s="515"/>
      <c r="H149" s="515"/>
      <c r="L149" s="1" t="s">
        <v>790</v>
      </c>
      <c r="M149" s="1"/>
      <c r="N149" s="1"/>
      <c r="O149" s="1"/>
      <c r="P149" s="1"/>
      <c r="Q149" s="1"/>
      <c r="R149" s="1"/>
      <c r="S149" s="1"/>
      <c r="T149" s="1"/>
      <c r="U149" s="1"/>
    </row>
    <row r="150" spans="2:44" x14ac:dyDescent="0.2">
      <c r="D150" s="515"/>
      <c r="E150" s="516"/>
      <c r="F150" s="515"/>
      <c r="G150" s="515"/>
      <c r="H150" s="515"/>
      <c r="L150" s="1"/>
      <c r="M150" s="1"/>
      <c r="N150" s="1"/>
      <c r="O150" s="1"/>
      <c r="P150" s="1"/>
      <c r="Q150" s="1"/>
      <c r="R150" s="1"/>
      <c r="S150" s="1"/>
      <c r="T150" s="1"/>
      <c r="U150" s="1"/>
    </row>
    <row r="151" spans="2:44" x14ac:dyDescent="0.2">
      <c r="B151"/>
      <c r="C151"/>
      <c r="D151"/>
      <c r="E151" s="516"/>
      <c r="F151" s="515"/>
      <c r="G151" s="515"/>
      <c r="H151" s="515"/>
      <c r="L151" s="1" t="s">
        <v>394</v>
      </c>
      <c r="M151" s="1"/>
      <c r="N151" s="1"/>
      <c r="O151" s="1"/>
      <c r="P151" s="1"/>
      <c r="Q151" s="1"/>
      <c r="R151" s="1"/>
      <c r="S151" s="1"/>
      <c r="T151" s="1"/>
      <c r="U151" s="1"/>
    </row>
    <row r="152" spans="2:44" x14ac:dyDescent="0.2">
      <c r="H152" s="515"/>
      <c r="L152" s="1"/>
      <c r="M152" s="1"/>
      <c r="N152" s="1"/>
      <c r="O152" s="1"/>
      <c r="P152" s="1"/>
      <c r="Q152" s="1"/>
      <c r="R152" s="1"/>
      <c r="S152" s="1"/>
      <c r="T152" s="1"/>
      <c r="U152" s="1"/>
    </row>
    <row r="153" spans="2:44" ht="15.75" x14ac:dyDescent="0.25">
      <c r="B153" s="551" t="s">
        <v>897</v>
      </c>
      <c r="C153" s="552"/>
      <c r="G153" s="551" t="s">
        <v>897</v>
      </c>
      <c r="H153" s="552"/>
      <c r="L153" s="1" t="s">
        <v>793</v>
      </c>
      <c r="M153" s="1"/>
      <c r="N153" s="1"/>
      <c r="O153" s="1"/>
      <c r="P153" s="1"/>
      <c r="Q153" s="1"/>
      <c r="R153" s="1"/>
      <c r="S153" s="1"/>
      <c r="T153" s="1"/>
      <c r="U153" s="1"/>
    </row>
    <row r="154" spans="2:44" ht="15.75" x14ac:dyDescent="0.25">
      <c r="B154" s="553" t="s">
        <v>400</v>
      </c>
      <c r="C154" s="555"/>
      <c r="D154" s="554" t="s">
        <v>993</v>
      </c>
      <c r="E154" s="554" t="s">
        <v>904</v>
      </c>
      <c r="G154" s="553" t="s">
        <v>393</v>
      </c>
      <c r="H154" s="555"/>
      <c r="I154" s="554" t="s">
        <v>993</v>
      </c>
      <c r="J154" s="554" t="s">
        <v>904</v>
      </c>
      <c r="L154" s="1" t="s">
        <v>798</v>
      </c>
      <c r="M154" s="1"/>
      <c r="N154" s="1"/>
      <c r="O154" s="1"/>
      <c r="P154" s="1"/>
      <c r="Q154" s="1"/>
      <c r="R154" s="1"/>
      <c r="S154" s="1"/>
      <c r="T154" s="1"/>
    </row>
    <row r="155" spans="2:44" ht="15.75" x14ac:dyDescent="0.25">
      <c r="B155" s="454" t="s">
        <v>898</v>
      </c>
      <c r="C155" s="519"/>
      <c r="D155" s="455">
        <f>L60</f>
        <v>193588.42879999997</v>
      </c>
      <c r="E155" s="455">
        <f>D155/$D$8</f>
        <v>1935.8842879999997</v>
      </c>
      <c r="F155" s="515"/>
      <c r="G155" s="456" t="s">
        <v>898</v>
      </c>
      <c r="H155" s="456"/>
      <c r="I155" s="457">
        <f t="shared" ref="I155:J160" si="92">D155</f>
        <v>193588.42879999997</v>
      </c>
      <c r="J155" s="457">
        <f t="shared" si="92"/>
        <v>1935.8842879999997</v>
      </c>
      <c r="L155" s="1" t="s">
        <v>799</v>
      </c>
      <c r="M155" s="1"/>
      <c r="N155" s="1"/>
      <c r="O155" s="1"/>
      <c r="P155" s="1"/>
      <c r="Q155" s="1"/>
      <c r="R155" s="1"/>
      <c r="S155" s="1"/>
      <c r="T155" s="1"/>
    </row>
    <row r="156" spans="2:44" ht="15.75" x14ac:dyDescent="0.25">
      <c r="B156" s="458" t="s">
        <v>797</v>
      </c>
      <c r="C156" s="459"/>
      <c r="D156" s="460">
        <f>H22</f>
        <v>163655.68000000002</v>
      </c>
      <c r="E156" s="460">
        <f t="shared" ref="E156:E162" si="93">D156/$D$8</f>
        <v>1636.5568000000003</v>
      </c>
      <c r="F156" s="515"/>
      <c r="G156" s="458" t="s">
        <v>797</v>
      </c>
      <c r="H156" s="458"/>
      <c r="I156" s="460">
        <f t="shared" si="92"/>
        <v>163655.68000000002</v>
      </c>
      <c r="J156" s="461">
        <f t="shared" si="92"/>
        <v>1636.5568000000003</v>
      </c>
      <c r="L156" s="520"/>
    </row>
    <row r="157" spans="2:44" ht="15.75" x14ac:dyDescent="0.25">
      <c r="B157" s="462" t="s">
        <v>399</v>
      </c>
      <c r="C157" s="463"/>
      <c r="D157" s="464">
        <f>H35+J35+L35</f>
        <v>3194.6254545454544</v>
      </c>
      <c r="E157" s="464">
        <f t="shared" si="93"/>
        <v>31.946254545454543</v>
      </c>
      <c r="F157" s="515"/>
      <c r="G157" s="462" t="s">
        <v>899</v>
      </c>
      <c r="H157" s="462"/>
      <c r="I157" s="465">
        <f t="shared" si="92"/>
        <v>3194.6254545454544</v>
      </c>
      <c r="J157" s="466">
        <f t="shared" si="92"/>
        <v>31.946254545454543</v>
      </c>
      <c r="M157" s="520"/>
    </row>
    <row r="158" spans="2:44" ht="15.75" x14ac:dyDescent="0.25">
      <c r="B158" s="467" t="s">
        <v>880</v>
      </c>
      <c r="C158" s="463"/>
      <c r="D158" s="464">
        <f>L75</f>
        <v>7807.0239999999994</v>
      </c>
      <c r="E158" s="464">
        <f t="shared" si="93"/>
        <v>78.070239999999998</v>
      </c>
      <c r="F158" s="515"/>
      <c r="G158" s="467" t="s">
        <v>880</v>
      </c>
      <c r="H158" s="467"/>
      <c r="I158" s="465">
        <f t="shared" si="92"/>
        <v>7807.0239999999994</v>
      </c>
      <c r="J158" s="466">
        <f t="shared" si="92"/>
        <v>78.070239999999998</v>
      </c>
    </row>
    <row r="159" spans="2:44" ht="15.75" x14ac:dyDescent="0.25">
      <c r="B159" s="467" t="s">
        <v>881</v>
      </c>
      <c r="C159" s="463"/>
      <c r="D159" s="464">
        <f>M47</f>
        <v>74.176000000000002</v>
      </c>
      <c r="E159" s="464">
        <f t="shared" si="93"/>
        <v>0.74175999999999997</v>
      </c>
      <c r="G159" s="467" t="s">
        <v>881</v>
      </c>
      <c r="H159" s="467"/>
      <c r="I159" s="465">
        <f t="shared" si="92"/>
        <v>74.176000000000002</v>
      </c>
      <c r="J159" s="466">
        <f t="shared" si="92"/>
        <v>0.74175999999999997</v>
      </c>
    </row>
    <row r="160" spans="2:44" ht="15.75" x14ac:dyDescent="0.25">
      <c r="B160" s="467" t="s">
        <v>872</v>
      </c>
      <c r="C160" s="463"/>
      <c r="D160" s="464">
        <f>D75+H75</f>
        <v>976</v>
      </c>
      <c r="E160" s="464">
        <f t="shared" si="93"/>
        <v>9.76</v>
      </c>
      <c r="F160" s="515"/>
      <c r="G160" s="467" t="s">
        <v>872</v>
      </c>
      <c r="H160" s="467"/>
      <c r="I160" s="465">
        <f t="shared" si="92"/>
        <v>976</v>
      </c>
      <c r="J160" s="466">
        <f t="shared" si="92"/>
        <v>9.76</v>
      </c>
    </row>
    <row r="161" spans="2:13" ht="15.75" x14ac:dyDescent="0.25">
      <c r="B161" s="468" t="s">
        <v>755</v>
      </c>
      <c r="C161" s="469"/>
      <c r="D161" s="470">
        <f>I148</f>
        <v>15256.256974789916</v>
      </c>
      <c r="E161" s="470">
        <f t="shared" si="93"/>
        <v>152.56256974789915</v>
      </c>
      <c r="F161" s="515"/>
      <c r="G161" s="468" t="s">
        <v>754</v>
      </c>
      <c r="H161" s="468"/>
      <c r="I161" s="465">
        <f>AF148</f>
        <v>22344.152142857147</v>
      </c>
      <c r="J161" s="466">
        <f>I161/$D$8</f>
        <v>223.44152142857146</v>
      </c>
    </row>
    <row r="162" spans="2:13" ht="15.75" x14ac:dyDescent="0.25">
      <c r="B162" s="471" t="s">
        <v>900</v>
      </c>
      <c r="C162" s="521"/>
      <c r="D162" s="472">
        <f>SUM(D156:D161)</f>
        <v>190963.76242933542</v>
      </c>
      <c r="E162" s="472">
        <f t="shared" si="93"/>
        <v>1909.6376242933541</v>
      </c>
      <c r="F162" s="515"/>
      <c r="G162" s="471" t="s">
        <v>900</v>
      </c>
      <c r="H162" s="471"/>
      <c r="I162" s="472">
        <f>SUM(I156:I161)</f>
        <v>198051.65759740263</v>
      </c>
      <c r="J162" s="472">
        <f>I162/D8</f>
        <v>1980.5165759740264</v>
      </c>
    </row>
    <row r="163" spans="2:13" x14ac:dyDescent="0.2">
      <c r="B163" s="427"/>
      <c r="C163" s="427"/>
      <c r="D163" s="427"/>
      <c r="E163" s="427"/>
      <c r="G163" s="427"/>
      <c r="H163" s="427"/>
      <c r="I163" s="427"/>
      <c r="J163" s="427"/>
    </row>
    <row r="164" spans="2:13" ht="15.75" x14ac:dyDescent="0.25">
      <c r="B164" s="473" t="s">
        <v>901</v>
      </c>
      <c r="C164" s="522"/>
      <c r="D164" s="474">
        <f>D155-D162</f>
        <v>2624.6663706645486</v>
      </c>
      <c r="E164" s="474">
        <f>D164/D8</f>
        <v>26.246663706645485</v>
      </c>
      <c r="G164" s="473" t="s">
        <v>901</v>
      </c>
      <c r="H164" s="473"/>
      <c r="I164" s="474">
        <f>I155-I162</f>
        <v>-4463.2287974026694</v>
      </c>
      <c r="J164" s="474">
        <f>I164/$D$8</f>
        <v>-44.632287974026696</v>
      </c>
      <c r="K164" s="523"/>
    </row>
    <row r="165" spans="2:13" ht="15.75" x14ac:dyDescent="0.25">
      <c r="B165" s="473" t="s">
        <v>737</v>
      </c>
      <c r="C165" s="475"/>
      <c r="D165" s="474">
        <f>H88</f>
        <v>2017.6727671232882</v>
      </c>
      <c r="E165" s="474">
        <f>D165/D8</f>
        <v>20.176727671232882</v>
      </c>
      <c r="F165" s="515"/>
      <c r="G165" s="473" t="s">
        <v>737</v>
      </c>
      <c r="H165" s="475"/>
      <c r="I165" s="474">
        <f>H88</f>
        <v>2017.6727671232882</v>
      </c>
      <c r="J165" s="515"/>
    </row>
    <row r="166" spans="2:13" ht="15.75" x14ac:dyDescent="0.25">
      <c r="B166" s="473" t="s">
        <v>675</v>
      </c>
      <c r="C166" s="522"/>
      <c r="D166" s="474">
        <f>D164-D165</f>
        <v>606.99360354126043</v>
      </c>
      <c r="E166" s="474">
        <f>D166/$D$8</f>
        <v>6.0699360354126046</v>
      </c>
      <c r="F166" s="515"/>
      <c r="G166" s="473" t="s">
        <v>902</v>
      </c>
      <c r="H166" s="473"/>
      <c r="I166" s="474">
        <f>I164-I165</f>
        <v>-6480.9015645259578</v>
      </c>
      <c r="J166" s="474">
        <f>I166/$D$8</f>
        <v>-64.809015645259578</v>
      </c>
    </row>
    <row r="167" spans="2:13" ht="15.75" x14ac:dyDescent="0.25">
      <c r="B167" s="473" t="s">
        <v>739</v>
      </c>
      <c r="C167" s="522"/>
      <c r="D167" s="522"/>
      <c r="E167" s="476">
        <f>(E60-F22)/$D$8</f>
        <v>140.5440000000001</v>
      </c>
      <c r="F167" s="515"/>
      <c r="J167" s="515"/>
    </row>
    <row r="168" spans="2:13" x14ac:dyDescent="0.2">
      <c r="F168" s="515"/>
      <c r="J168" s="524"/>
    </row>
    <row r="169" spans="2:13" x14ac:dyDescent="0.2">
      <c r="F169" s="515"/>
      <c r="I169" s="515"/>
      <c r="J169" s="515"/>
    </row>
    <row r="170" spans="2:13" x14ac:dyDescent="0.2">
      <c r="B170" s="1"/>
      <c r="C170" s="1"/>
      <c r="D170" s="1"/>
      <c r="E170" s="524"/>
      <c r="F170" s="515"/>
      <c r="G170" s="1"/>
      <c r="H170" s="1"/>
      <c r="I170" s="1"/>
      <c r="J170" s="524"/>
    </row>
    <row r="171" spans="2:13" x14ac:dyDescent="0.2">
      <c r="G171" s="1"/>
      <c r="H171" s="1"/>
      <c r="I171" s="1"/>
      <c r="J171" s="515"/>
    </row>
    <row r="172" spans="2:13" ht="15.75" thickBot="1" x14ac:dyDescent="0.25">
      <c r="B172" s="1"/>
      <c r="C172" s="1"/>
      <c r="D172" s="1"/>
      <c r="E172" s="524"/>
      <c r="G172" s="1"/>
      <c r="H172" s="1"/>
      <c r="I172" s="1"/>
      <c r="J172" s="524"/>
    </row>
    <row r="173" spans="2:13" ht="16.5" thickBot="1" x14ac:dyDescent="0.3">
      <c r="B173" s="1"/>
      <c r="C173" s="525" t="s">
        <v>667</v>
      </c>
      <c r="D173" s="526" t="s">
        <v>668</v>
      </c>
      <c r="E173" s="1"/>
      <c r="G173" s="527"/>
      <c r="H173" s="528" t="s">
        <v>760</v>
      </c>
      <c r="I173" s="529"/>
      <c r="J173" s="530"/>
      <c r="K173" s="528" t="s">
        <v>761</v>
      </c>
      <c r="L173" s="529"/>
      <c r="M173" s="530"/>
    </row>
    <row r="174" spans="2:13" ht="15.75" x14ac:dyDescent="0.2">
      <c r="B174" s="1"/>
      <c r="C174" s="74" t="s">
        <v>661</v>
      </c>
      <c r="D174" s="495">
        <f>H100</f>
        <v>56.712124251716396</v>
      </c>
      <c r="E174" s="1"/>
      <c r="G174" s="531"/>
      <c r="H174" s="532" t="s">
        <v>762</v>
      </c>
      <c r="I174" s="532" t="s">
        <v>763</v>
      </c>
      <c r="J174" s="532" t="s">
        <v>764</v>
      </c>
      <c r="K174" s="532" t="s">
        <v>765</v>
      </c>
      <c r="L174" s="532" t="s">
        <v>766</v>
      </c>
      <c r="M174" s="532" t="s">
        <v>767</v>
      </c>
    </row>
    <row r="175" spans="2:13" ht="16.5" thickBot="1" x14ac:dyDescent="0.25">
      <c r="C175" s="74" t="s">
        <v>669</v>
      </c>
      <c r="D175" s="435">
        <v>3650</v>
      </c>
      <c r="E175" s="1" t="s">
        <v>803</v>
      </c>
      <c r="G175" s="533" t="s">
        <v>768</v>
      </c>
      <c r="H175" s="534">
        <v>1000</v>
      </c>
      <c r="I175" s="534">
        <v>1000</v>
      </c>
      <c r="J175" s="534">
        <v>1000</v>
      </c>
      <c r="K175" s="534">
        <v>1000</v>
      </c>
      <c r="L175" s="534">
        <v>1000</v>
      </c>
      <c r="M175" s="534">
        <v>1000</v>
      </c>
    </row>
    <row r="176" spans="2:13" ht="16.5" thickBot="1" x14ac:dyDescent="0.25">
      <c r="C176" s="74" t="s">
        <v>670</v>
      </c>
      <c r="D176" s="409">
        <f>D175*D174</f>
        <v>206999.25351876486</v>
      </c>
      <c r="E176" s="1" t="s">
        <v>666</v>
      </c>
      <c r="G176" s="535" t="s">
        <v>769</v>
      </c>
      <c r="H176" s="536">
        <v>0.4</v>
      </c>
      <c r="I176" s="537">
        <v>0.3</v>
      </c>
      <c r="J176" s="538">
        <v>0.4</v>
      </c>
      <c r="K176" s="539">
        <v>0.3</v>
      </c>
      <c r="L176" s="538">
        <v>0.3</v>
      </c>
      <c r="M176" s="540">
        <v>0.3</v>
      </c>
    </row>
    <row r="177" spans="2:14" x14ac:dyDescent="0.2">
      <c r="B177" s="1"/>
      <c r="C177" s="541" t="s">
        <v>671</v>
      </c>
      <c r="D177" s="452">
        <v>0.4</v>
      </c>
      <c r="E177" s="1"/>
      <c r="G177" s="1"/>
      <c r="H177" s="1"/>
      <c r="I177" s="1"/>
      <c r="J177" s="1"/>
      <c r="K177" s="1"/>
      <c r="L177" s="1"/>
      <c r="M177" s="1"/>
    </row>
    <row r="178" spans="2:14" x14ac:dyDescent="0.2">
      <c r="B178" s="1"/>
      <c r="C178" s="541" t="s">
        <v>662</v>
      </c>
      <c r="D178" s="409">
        <f>D176*1/D177</f>
        <v>517498.13379691215</v>
      </c>
      <c r="E178" s="1" t="s">
        <v>666</v>
      </c>
      <c r="N178" s="1"/>
    </row>
    <row r="179" spans="2:14" x14ac:dyDescent="0.2">
      <c r="B179" s="1"/>
      <c r="C179" s="74" t="s">
        <v>672</v>
      </c>
      <c r="D179" s="409">
        <f>D8</f>
        <v>100</v>
      </c>
      <c r="E179" s="1" t="s">
        <v>1000</v>
      </c>
      <c r="N179" s="1"/>
    </row>
    <row r="180" spans="2:14" x14ac:dyDescent="0.2">
      <c r="B180" s="1"/>
      <c r="C180" s="74" t="s">
        <v>663</v>
      </c>
      <c r="D180" s="409">
        <f>D178/D179</f>
        <v>5174.9813379691213</v>
      </c>
      <c r="E180" s="1" t="s">
        <v>802</v>
      </c>
      <c r="N180" s="1"/>
    </row>
    <row r="181" spans="2:14" x14ac:dyDescent="0.2">
      <c r="B181" s="1"/>
      <c r="C181" s="74" t="s">
        <v>664</v>
      </c>
      <c r="D181" s="435">
        <v>1000</v>
      </c>
      <c r="E181" s="1" t="s">
        <v>802</v>
      </c>
      <c r="N181" s="1"/>
    </row>
    <row r="182" spans="2:14" x14ac:dyDescent="0.2">
      <c r="B182" s="1"/>
      <c r="C182" s="74" t="s">
        <v>665</v>
      </c>
      <c r="D182" s="409">
        <f>D181+D180</f>
        <v>6174.9813379691213</v>
      </c>
      <c r="E182" s="1" t="s">
        <v>802</v>
      </c>
      <c r="N182" s="1"/>
    </row>
    <row r="183" spans="2:14" x14ac:dyDescent="0.2">
      <c r="B183" s="1"/>
      <c r="C183" s="542"/>
      <c r="D183" s="543"/>
      <c r="E183" s="1"/>
      <c r="N183" s="1"/>
    </row>
    <row r="184" spans="2:14" x14ac:dyDescent="0.2">
      <c r="B184" s="1"/>
      <c r="C184" s="1"/>
      <c r="D184" s="1"/>
      <c r="E184" s="1"/>
      <c r="F184" s="1"/>
      <c r="G184" s="1"/>
      <c r="H184" s="1"/>
      <c r="I184" s="1"/>
      <c r="J184" s="1"/>
      <c r="K184" s="1"/>
      <c r="L184" s="1"/>
      <c r="M184" s="1"/>
      <c r="N184" s="1"/>
    </row>
    <row r="185" spans="2:14" x14ac:dyDescent="0.2">
      <c r="B185" s="1"/>
      <c r="C185" s="1"/>
      <c r="D185" s="1"/>
      <c r="E185" s="1"/>
      <c r="F185" s="1"/>
      <c r="G185" s="1"/>
      <c r="H185" s="1"/>
      <c r="I185" s="1"/>
      <c r="J185" s="1"/>
      <c r="K185" s="1"/>
      <c r="L185" s="1"/>
      <c r="M185" s="1"/>
      <c r="N185" s="1"/>
    </row>
    <row r="186" spans="2:14" x14ac:dyDescent="0.2">
      <c r="B186" s="1"/>
      <c r="C186" s="1"/>
      <c r="D186" s="1"/>
      <c r="E186" s="1"/>
      <c r="F186" s="1"/>
      <c r="G186" s="1"/>
      <c r="H186" s="1"/>
      <c r="I186" s="1"/>
      <c r="J186" s="1"/>
      <c r="K186" s="1"/>
      <c r="L186" s="1"/>
      <c r="M186" s="1"/>
      <c r="N186" s="1"/>
    </row>
    <row r="187" spans="2:14" x14ac:dyDescent="0.2">
      <c r="B187" s="1"/>
      <c r="C187" s="1"/>
      <c r="D187" s="1"/>
      <c r="E187" s="1"/>
      <c r="F187" s="1"/>
      <c r="G187" s="1"/>
      <c r="H187" s="1"/>
      <c r="I187" s="1"/>
      <c r="J187" s="1"/>
      <c r="K187" s="1"/>
      <c r="L187" s="1"/>
      <c r="M187" s="1"/>
      <c r="N187" s="1"/>
    </row>
    <row r="188" spans="2:14" x14ac:dyDescent="0.2">
      <c r="B188" s="1"/>
      <c r="C188" s="1"/>
      <c r="D188" s="1"/>
      <c r="E188" s="1"/>
      <c r="F188" s="1"/>
      <c r="G188" s="1"/>
      <c r="H188" s="1"/>
      <c r="I188" s="1"/>
      <c r="J188" s="1"/>
      <c r="K188" s="1"/>
      <c r="L188" s="1"/>
      <c r="M188" s="1"/>
      <c r="N188" s="1"/>
    </row>
    <row r="189" spans="2:14" x14ac:dyDescent="0.2">
      <c r="B189" s="1"/>
      <c r="C189" s="1"/>
      <c r="D189" s="1"/>
      <c r="E189" s="1"/>
      <c r="F189" s="1"/>
      <c r="G189" s="1"/>
      <c r="H189" s="1"/>
      <c r="I189" s="1"/>
      <c r="J189" s="1"/>
      <c r="K189" s="1"/>
      <c r="L189" s="1"/>
      <c r="M189" s="1"/>
      <c r="N189" s="1"/>
    </row>
    <row r="190" spans="2:14" x14ac:dyDescent="0.2">
      <c r="B190" s="1"/>
      <c r="C190" s="1"/>
      <c r="D190" s="1"/>
      <c r="E190" s="1"/>
      <c r="F190" s="1"/>
      <c r="G190" s="1"/>
      <c r="H190" s="1"/>
      <c r="I190" s="1"/>
      <c r="J190" s="1"/>
      <c r="K190" s="1"/>
      <c r="L190" s="1"/>
      <c r="M190" s="1"/>
      <c r="N190" s="1"/>
    </row>
    <row r="191" spans="2:14" x14ac:dyDescent="0.2">
      <c r="B191" s="1"/>
      <c r="C191" s="1"/>
      <c r="D191" s="1"/>
      <c r="E191" s="1"/>
      <c r="F191" s="1"/>
      <c r="G191" s="1"/>
      <c r="H191" s="1"/>
      <c r="I191" s="1"/>
      <c r="J191" s="1"/>
      <c r="K191" s="1"/>
      <c r="L191" s="1"/>
      <c r="M191" s="1"/>
      <c r="N191" s="1"/>
    </row>
    <row r="192" spans="2:14" x14ac:dyDescent="0.2">
      <c r="B192" s="1"/>
      <c r="C192" s="1"/>
      <c r="D192" s="1"/>
      <c r="E192" s="1"/>
      <c r="F192" s="1"/>
      <c r="G192" s="1"/>
      <c r="H192" s="1"/>
      <c r="I192" s="1"/>
      <c r="J192" s="1"/>
      <c r="K192" s="1"/>
    </row>
    <row r="193" spans="2:11" x14ac:dyDescent="0.2">
      <c r="B193" s="1"/>
      <c r="C193" s="1"/>
      <c r="D193" s="1"/>
      <c r="E193" s="1"/>
      <c r="F193" s="1"/>
      <c r="G193" s="1"/>
      <c r="H193" s="1"/>
      <c r="I193" s="1"/>
      <c r="J193" s="1"/>
      <c r="K193" s="1"/>
    </row>
    <row r="194" spans="2:11" x14ac:dyDescent="0.2">
      <c r="C194" s="1"/>
      <c r="D194" s="1"/>
      <c r="E194" s="1"/>
      <c r="F194" s="1"/>
      <c r="G194" s="1"/>
      <c r="H194" s="1"/>
      <c r="I194" s="1"/>
      <c r="J194" s="1"/>
      <c r="K194" s="1"/>
    </row>
    <row r="195" spans="2:11" x14ac:dyDescent="0.2">
      <c r="E195" s="1"/>
      <c r="F195" s="1"/>
      <c r="G195" s="1"/>
      <c r="H195" s="1"/>
      <c r="I195" s="1"/>
      <c r="J195" s="1"/>
      <c r="K195" s="1"/>
    </row>
    <row r="196" spans="2:11" x14ac:dyDescent="0.2">
      <c r="E196" s="1"/>
      <c r="F196" s="1"/>
      <c r="G196" s="1"/>
      <c r="H196" s="1"/>
      <c r="I196" s="1"/>
      <c r="J196" s="1"/>
      <c r="K196" s="1"/>
    </row>
    <row r="197" spans="2:11" x14ac:dyDescent="0.2">
      <c r="E197" s="1"/>
      <c r="F197" s="1"/>
      <c r="G197" s="1"/>
      <c r="H197" s="1"/>
      <c r="I197" s="1"/>
      <c r="J197" s="1"/>
      <c r="K197" s="1"/>
    </row>
    <row r="198" spans="2:11" x14ac:dyDescent="0.2">
      <c r="E198" s="1"/>
      <c r="F198" s="1"/>
      <c r="G198" s="1"/>
      <c r="H198" s="1"/>
      <c r="I198" s="1"/>
      <c r="J198" s="1"/>
      <c r="K198" s="1"/>
    </row>
    <row r="199" spans="2:11" x14ac:dyDescent="0.2">
      <c r="E199" s="1"/>
      <c r="F199" s="1"/>
      <c r="G199" s="1"/>
      <c r="H199" s="1"/>
      <c r="I199" s="1"/>
      <c r="J199" s="1"/>
      <c r="K199" s="1"/>
    </row>
    <row r="200" spans="2:11" x14ac:dyDescent="0.2">
      <c r="E200" s="1"/>
      <c r="F200" s="1"/>
      <c r="G200" s="1"/>
      <c r="H200" s="1"/>
      <c r="I200" s="1"/>
      <c r="J200" s="1"/>
      <c r="K200" s="1"/>
    </row>
    <row r="201" spans="2:11" x14ac:dyDescent="0.2">
      <c r="E201" s="1"/>
      <c r="F201" s="1"/>
      <c r="G201" s="1"/>
      <c r="H201" s="1"/>
      <c r="I201" s="1"/>
      <c r="J201" s="1"/>
      <c r="K201" s="1"/>
    </row>
    <row r="202" spans="2:11" x14ac:dyDescent="0.2">
      <c r="E202" s="1"/>
      <c r="F202" s="1"/>
      <c r="G202" s="1"/>
      <c r="H202" s="1"/>
      <c r="I202" s="1"/>
      <c r="J202" s="1"/>
      <c r="K202" s="1"/>
    </row>
    <row r="203" spans="2:11" x14ac:dyDescent="0.2">
      <c r="E203" s="1"/>
      <c r="F203" s="1"/>
      <c r="G203" s="1"/>
      <c r="H203" s="1"/>
      <c r="I203" s="1"/>
      <c r="J203" s="1"/>
      <c r="K203" s="1"/>
    </row>
    <row r="204" spans="2:11" x14ac:dyDescent="0.2">
      <c r="E204" s="1"/>
      <c r="F204" s="1"/>
      <c r="G204" s="1"/>
      <c r="H204" s="1"/>
      <c r="I204" s="1"/>
      <c r="J204" s="1"/>
      <c r="K204" s="1"/>
    </row>
    <row r="205" spans="2:11" x14ac:dyDescent="0.2">
      <c r="B205" s="1"/>
      <c r="C205" s="1"/>
      <c r="D205" s="1"/>
      <c r="E205" s="1"/>
      <c r="F205" s="1"/>
      <c r="G205" s="1"/>
      <c r="H205" s="1"/>
      <c r="I205" s="1"/>
      <c r="J205" s="1"/>
      <c r="K205" s="1"/>
    </row>
    <row r="206" spans="2:11" x14ac:dyDescent="0.2">
      <c r="B206" s="1"/>
      <c r="C206" s="1"/>
      <c r="D206" s="1"/>
      <c r="E206" s="1"/>
      <c r="F206" s="1"/>
      <c r="G206" s="1"/>
      <c r="H206" s="1"/>
      <c r="I206" s="1"/>
      <c r="J206" s="1"/>
      <c r="K206" s="1"/>
    </row>
    <row r="207" spans="2:11" x14ac:dyDescent="0.2">
      <c r="B207" s="1"/>
      <c r="C207" s="1"/>
      <c r="D207" s="1"/>
      <c r="E207" s="1"/>
      <c r="F207" s="1"/>
      <c r="G207" s="1"/>
      <c r="H207" s="1"/>
      <c r="I207" s="1"/>
      <c r="J207" s="1"/>
      <c r="K207" s="1"/>
    </row>
    <row r="208" spans="2:11" x14ac:dyDescent="0.2">
      <c r="B208" s="1"/>
      <c r="C208" s="1"/>
      <c r="D208" s="1"/>
      <c r="E208" s="1"/>
      <c r="F208" s="1"/>
      <c r="G208" s="1"/>
      <c r="H208" s="1"/>
      <c r="I208" s="1"/>
      <c r="J208" s="1"/>
      <c r="K208" s="1"/>
    </row>
    <row r="209" spans="2:11" x14ac:dyDescent="0.2">
      <c r="B209" s="1"/>
      <c r="C209" s="1"/>
      <c r="D209" s="1"/>
      <c r="E209" s="1"/>
      <c r="F209" s="1"/>
      <c r="G209" s="1"/>
      <c r="H209" s="1"/>
      <c r="I209" s="1"/>
      <c r="J209" s="1"/>
      <c r="K209" s="1"/>
    </row>
    <row r="210" spans="2:11" x14ac:dyDescent="0.2">
      <c r="B210" s="1"/>
      <c r="C210" s="1"/>
      <c r="D210" s="1"/>
      <c r="E210" s="1"/>
      <c r="F210" s="1"/>
      <c r="G210" s="1"/>
      <c r="H210" s="1"/>
      <c r="I210" s="1"/>
      <c r="J210" s="1"/>
      <c r="K210" s="1"/>
    </row>
    <row r="211" spans="2:11" x14ac:dyDescent="0.2">
      <c r="B211" s="1"/>
      <c r="C211" s="1"/>
      <c r="D211" s="1"/>
      <c r="E211" s="1"/>
      <c r="F211" s="1"/>
      <c r="G211" s="1"/>
      <c r="H211" s="1"/>
      <c r="I211" s="1"/>
      <c r="J211" s="1"/>
      <c r="K211" s="1"/>
    </row>
    <row r="212" spans="2:11" x14ac:dyDescent="0.2">
      <c r="B212" s="1"/>
      <c r="C212" s="1"/>
      <c r="D212" s="1"/>
      <c r="E212" s="1"/>
      <c r="F212" s="1"/>
      <c r="G212" s="1"/>
      <c r="H212" s="1"/>
      <c r="I212" s="1"/>
      <c r="J212" s="1"/>
      <c r="K212" s="1"/>
    </row>
    <row r="213" spans="2:11" x14ac:dyDescent="0.2">
      <c r="B213" s="1"/>
      <c r="C213" s="1"/>
      <c r="D213" s="1"/>
      <c r="E213" s="1"/>
      <c r="F213" s="1"/>
      <c r="G213" s="1"/>
      <c r="H213" s="1"/>
      <c r="I213" s="1"/>
      <c r="J213" s="1"/>
      <c r="K213" s="1"/>
    </row>
    <row r="214" spans="2:11" x14ac:dyDescent="0.2">
      <c r="B214" s="1"/>
      <c r="C214" s="1"/>
      <c r="D214" s="1"/>
      <c r="E214" s="1"/>
      <c r="F214" s="1"/>
      <c r="G214" s="1"/>
      <c r="H214" s="1"/>
      <c r="I214" s="1"/>
      <c r="J214" s="1"/>
      <c r="K214" s="1"/>
    </row>
    <row r="215" spans="2:11" x14ac:dyDescent="0.2">
      <c r="B215" s="1"/>
      <c r="C215" s="1"/>
      <c r="D215" s="1"/>
      <c r="E215" s="1"/>
      <c r="F215" s="1"/>
      <c r="G215" s="1"/>
      <c r="H215" s="1"/>
      <c r="I215" s="1"/>
      <c r="J215" s="1"/>
      <c r="K215" s="1"/>
    </row>
    <row r="216" spans="2:11" x14ac:dyDescent="0.2">
      <c r="B216" s="1"/>
      <c r="C216" s="1"/>
      <c r="D216" s="1"/>
      <c r="E216" s="1"/>
      <c r="F216" s="1"/>
      <c r="G216" s="1"/>
      <c r="H216" s="1"/>
      <c r="I216" s="1"/>
      <c r="J216" s="1"/>
      <c r="K216" s="1"/>
    </row>
    <row r="217" spans="2:11" x14ac:dyDescent="0.2">
      <c r="B217" s="1"/>
      <c r="C217" s="1"/>
      <c r="D217" s="1"/>
      <c r="E217" s="1"/>
      <c r="F217" s="1"/>
      <c r="G217" s="1"/>
      <c r="H217" s="1"/>
      <c r="I217" s="1"/>
      <c r="J217" s="1"/>
      <c r="K217" s="1"/>
    </row>
    <row r="218" spans="2:11" x14ac:dyDescent="0.2">
      <c r="B218" s="1"/>
      <c r="C218" s="1"/>
      <c r="D218" s="1"/>
      <c r="E218" s="1"/>
      <c r="F218" s="1"/>
      <c r="G218" s="1"/>
      <c r="H218" s="1"/>
      <c r="I218" s="1"/>
      <c r="J218" s="1"/>
      <c r="K218" s="1"/>
    </row>
    <row r="219" spans="2:11" x14ac:dyDescent="0.2">
      <c r="B219" s="1"/>
      <c r="C219" s="1"/>
      <c r="D219" s="1"/>
      <c r="E219" s="1"/>
      <c r="F219" s="1"/>
      <c r="G219" s="1"/>
      <c r="H219" s="1"/>
      <c r="I219" s="1"/>
      <c r="J219" s="1"/>
      <c r="K219" s="1"/>
    </row>
    <row r="220" spans="2:11" x14ac:dyDescent="0.2">
      <c r="B220" s="1"/>
      <c r="C220" s="1"/>
      <c r="D220" s="1"/>
      <c r="E220" s="1"/>
      <c r="F220" s="1"/>
      <c r="G220" s="1"/>
      <c r="H220" s="1"/>
      <c r="I220" s="1"/>
      <c r="J220" s="1"/>
      <c r="K220" s="1"/>
    </row>
    <row r="221" spans="2:11" x14ac:dyDescent="0.2">
      <c r="B221" s="1"/>
      <c r="C221" s="1"/>
      <c r="D221" s="1"/>
      <c r="E221" s="1"/>
      <c r="F221" s="1"/>
      <c r="G221" s="1"/>
      <c r="H221" s="1"/>
      <c r="I221" s="1"/>
      <c r="J221" s="1"/>
      <c r="K221" s="1"/>
    </row>
    <row r="222" spans="2:11" x14ac:dyDescent="0.2">
      <c r="B222" s="1"/>
      <c r="C222" s="1"/>
      <c r="D222" s="1"/>
      <c r="E222" s="1"/>
      <c r="F222" s="1"/>
      <c r="G222" s="1"/>
      <c r="H222" s="1"/>
      <c r="I222" s="1"/>
      <c r="J222" s="1"/>
      <c r="K222" s="1"/>
    </row>
    <row r="223" spans="2:11" x14ac:dyDescent="0.2">
      <c r="B223" s="1"/>
      <c r="C223" s="1"/>
      <c r="D223" s="1"/>
      <c r="E223" s="1"/>
      <c r="F223" s="1"/>
      <c r="G223" s="1"/>
      <c r="H223" s="1"/>
      <c r="I223" s="1"/>
      <c r="J223" s="1"/>
      <c r="K223" s="1"/>
    </row>
  </sheetData>
  <mergeCells count="13">
    <mergeCell ref="Q17:R17"/>
    <mergeCell ref="Q12:R12"/>
    <mergeCell ref="Q13:R13"/>
    <mergeCell ref="Q14:R14"/>
    <mergeCell ref="Q15:R15"/>
    <mergeCell ref="Q16:R16"/>
    <mergeCell ref="Q18:R18"/>
    <mergeCell ref="Q19:R19"/>
    <mergeCell ref="Q24:R24"/>
    <mergeCell ref="Q20:R20"/>
    <mergeCell ref="Q21:R21"/>
    <mergeCell ref="Q22:R22"/>
    <mergeCell ref="Q23:R23"/>
  </mergeCells>
  <phoneticPr fontId="15" type="noConversion"/>
  <pageMargins left="0.75" right="0.75" top="1" bottom="1" header="0.5" footer="0.5"/>
  <headerFooter alignWithMargins="0"/>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2:AR223"/>
  <sheetViews>
    <sheetView showGridLines="0" zoomScale="55" workbookViewId="0"/>
  </sheetViews>
  <sheetFormatPr defaultColWidth="8.77734375" defaultRowHeight="15" x14ac:dyDescent="0.2"/>
  <cols>
    <col min="1" max="1" width="14.6640625" style="419" customWidth="1"/>
    <col min="2" max="2" width="15.6640625" style="419" customWidth="1"/>
    <col min="3" max="3" width="31" style="419" customWidth="1"/>
    <col min="4" max="4" width="25.44140625" style="419" bestFit="1" customWidth="1"/>
    <col min="5" max="5" width="27.77734375" style="419" customWidth="1"/>
    <col min="6" max="6" width="30" style="419" customWidth="1"/>
    <col min="7" max="7" width="26.44140625" style="419" customWidth="1"/>
    <col min="8" max="8" width="26.6640625" style="419" customWidth="1"/>
    <col min="9" max="9" width="20.88671875" style="419" bestFit="1" customWidth="1"/>
    <col min="10" max="10" width="23.77734375" style="419" customWidth="1"/>
    <col min="11" max="11" width="21.77734375" style="419" customWidth="1"/>
    <col min="12" max="12" width="21.21875" style="419" customWidth="1"/>
    <col min="13" max="13" width="20.88671875" style="419" customWidth="1"/>
    <col min="14" max="17" width="16.109375" style="419" customWidth="1"/>
    <col min="18" max="18" width="21" style="419" customWidth="1"/>
    <col min="19" max="19" width="16.88671875" style="419" customWidth="1"/>
    <col min="20" max="20" width="19.109375" style="419" customWidth="1"/>
    <col min="21" max="21" width="18.6640625" style="419" customWidth="1"/>
    <col min="22" max="22" width="13.5546875" style="419" customWidth="1"/>
    <col min="23" max="23" width="13" style="419" customWidth="1"/>
    <col min="24" max="24" width="12.109375" style="419" customWidth="1"/>
    <col min="25" max="25" width="40.109375" style="419" bestFit="1" customWidth="1"/>
    <col min="26" max="26" width="25.33203125" style="419" bestFit="1" customWidth="1"/>
    <col min="27" max="27" width="15.88671875" style="422" bestFit="1" customWidth="1"/>
    <col min="28" max="28" width="14" style="422" customWidth="1"/>
    <col min="29" max="29" width="23.33203125" style="422" bestFit="1" customWidth="1"/>
    <col min="30" max="30" width="17.77734375" style="422" customWidth="1"/>
    <col min="31" max="31" width="12.109375" style="422" bestFit="1" customWidth="1"/>
    <col min="32" max="32" width="12.33203125" style="422" customWidth="1"/>
    <col min="33" max="34" width="8.77734375" style="419"/>
    <col min="35" max="35" width="38.109375" style="419" bestFit="1" customWidth="1"/>
    <col min="36" max="36" width="21.44140625" style="419" bestFit="1" customWidth="1"/>
    <col min="37" max="37" width="32.109375" style="419" customWidth="1"/>
    <col min="38" max="38" width="30.88671875" style="419" bestFit="1" customWidth="1"/>
    <col min="39" max="39" width="19" style="419" bestFit="1" customWidth="1"/>
    <col min="40" max="40" width="8.77734375" style="419"/>
    <col min="41" max="41" width="17.6640625" style="419" customWidth="1"/>
    <col min="42" max="42" width="12.109375" style="419" bestFit="1" customWidth="1"/>
    <col min="43" max="43" width="18.44140625" style="419" bestFit="1" customWidth="1"/>
    <col min="44" max="16384" width="8.77734375" style="419"/>
  </cols>
  <sheetData>
    <row r="2" spans="1:28" ht="20.25" x14ac:dyDescent="0.3">
      <c r="B2" s="545" t="s">
        <v>246</v>
      </c>
    </row>
    <row r="3" spans="1:28" ht="15.75" x14ac:dyDescent="0.25">
      <c r="A3" s="446"/>
    </row>
    <row r="4" spans="1:28" ht="13.5" customHeight="1" x14ac:dyDescent="0.25">
      <c r="A4" s="446"/>
    </row>
    <row r="5" spans="1:28" ht="15.75" x14ac:dyDescent="0.25">
      <c r="B5" s="446" t="s">
        <v>800</v>
      </c>
      <c r="C5" s="416" t="str">
        <f>'Gross margin summary'!H15</f>
        <v>Forage sorghum</v>
      </c>
      <c r="D5" s="417"/>
      <c r="E5" s="446"/>
    </row>
    <row r="7" spans="1:28" ht="18" customHeight="1" x14ac:dyDescent="0.2">
      <c r="A7" s="1"/>
      <c r="B7" s="1"/>
      <c r="C7" s="1"/>
      <c r="D7" s="1"/>
      <c r="E7" s="1"/>
      <c r="F7" s="1"/>
      <c r="G7" s="1"/>
      <c r="H7" s="1"/>
      <c r="I7" s="1"/>
      <c r="J7" s="1"/>
      <c r="K7" s="1"/>
      <c r="L7" s="1"/>
      <c r="M7" s="1"/>
      <c r="N7" s="1"/>
      <c r="O7" s="1"/>
      <c r="P7" s="1"/>
      <c r="Q7" s="1"/>
      <c r="R7" s="1"/>
      <c r="S7" s="1"/>
      <c r="T7" s="1"/>
      <c r="U7" s="1"/>
      <c r="V7" s="1"/>
      <c r="W7" s="1"/>
      <c r="X7" s="1"/>
      <c r="Y7" s="1"/>
      <c r="Z7" s="1"/>
      <c r="AA7" s="6"/>
    </row>
    <row r="8" spans="1:28" ht="18" customHeight="1" x14ac:dyDescent="0.2">
      <c r="A8" s="1"/>
      <c r="B8" s="1"/>
      <c r="C8" s="12" t="s">
        <v>689</v>
      </c>
      <c r="D8" s="546">
        <v>100</v>
      </c>
      <c r="E8" s="1" t="s">
        <v>1000</v>
      </c>
      <c r="L8" s="1"/>
      <c r="M8" s="1"/>
      <c r="O8" s="1"/>
      <c r="P8" s="1"/>
      <c r="Q8" s="1"/>
      <c r="R8" s="1"/>
      <c r="S8" s="1"/>
      <c r="T8" s="1"/>
      <c r="U8" s="1"/>
      <c r="V8" s="1"/>
      <c r="W8" s="1"/>
      <c r="X8" s="1"/>
      <c r="Y8" s="1"/>
      <c r="Z8" s="1"/>
      <c r="AA8" s="6"/>
    </row>
    <row r="9" spans="1:28" ht="18" customHeight="1" x14ac:dyDescent="0.2">
      <c r="A9" s="1"/>
      <c r="B9" s="1"/>
      <c r="C9" s="12" t="s">
        <v>373</v>
      </c>
      <c r="D9" s="546">
        <v>100</v>
      </c>
      <c r="E9" s="419" t="s">
        <v>1000</v>
      </c>
      <c r="F9" s="12"/>
      <c r="G9"/>
      <c r="H9"/>
      <c r="I9"/>
      <c r="J9"/>
      <c r="K9"/>
      <c r="L9" s="1"/>
      <c r="M9" s="1"/>
      <c r="O9" s="1"/>
      <c r="P9" s="1"/>
      <c r="Q9" s="443" t="s">
        <v>645</v>
      </c>
      <c r="R9" s="443"/>
      <c r="S9" s="443"/>
      <c r="T9" s="1"/>
      <c r="U9" s="1"/>
      <c r="V9" s="1"/>
      <c r="W9" s="1"/>
      <c r="X9" s="1"/>
      <c r="Y9" s="1"/>
      <c r="Z9" s="1"/>
      <c r="AA9" s="6"/>
    </row>
    <row r="10" spans="1:28" ht="18" customHeight="1" x14ac:dyDescent="0.2">
      <c r="A10" s="1"/>
      <c r="B10" s="1"/>
      <c r="C10" s="12" t="s">
        <v>690</v>
      </c>
      <c r="D10" s="421">
        <f>IF(D9&lt;=0,0,D9/D8)</f>
        <v>1</v>
      </c>
      <c r="F10" s="12"/>
      <c r="G10"/>
      <c r="H10"/>
      <c r="I10"/>
      <c r="J10"/>
      <c r="K10"/>
      <c r="L10" s="1"/>
      <c r="M10" s="1"/>
      <c r="O10" s="1"/>
      <c r="P10" s="1"/>
      <c r="Q10" s="1"/>
      <c r="R10" s="1"/>
      <c r="S10" s="1"/>
      <c r="T10" s="1"/>
      <c r="U10" s="1"/>
      <c r="V10" s="1"/>
      <c r="W10" s="1"/>
      <c r="X10" s="1"/>
      <c r="Y10" s="1"/>
      <c r="Z10" s="1"/>
      <c r="AA10" s="6"/>
    </row>
    <row r="11" spans="1:28" ht="18" customHeight="1" x14ac:dyDescent="0.25">
      <c r="A11" s="1"/>
      <c r="B11" s="1"/>
      <c r="C11" s="12"/>
      <c r="D11"/>
      <c r="E11" s="1"/>
      <c r="F11" s="12"/>
      <c r="G11"/>
      <c r="H11"/>
      <c r="I11"/>
      <c r="J11"/>
      <c r="K11"/>
      <c r="L11" s="1"/>
      <c r="M11" s="1"/>
      <c r="O11" s="1"/>
      <c r="P11" s="1"/>
      <c r="R11" s="544"/>
      <c r="S11" s="477" t="s">
        <v>698</v>
      </c>
      <c r="T11" s="477" t="s">
        <v>699</v>
      </c>
      <c r="U11" s="477" t="s">
        <v>700</v>
      </c>
      <c r="V11" s="477" t="s">
        <v>701</v>
      </c>
      <c r="W11" s="477" t="s">
        <v>702</v>
      </c>
      <c r="X11" s="477" t="s">
        <v>703</v>
      </c>
      <c r="Y11" s="1"/>
      <c r="Z11" s="424" t="s">
        <v>857</v>
      </c>
      <c r="AA11" s="425"/>
      <c r="AB11" s="6"/>
    </row>
    <row r="12" spans="1:28" ht="18" customHeight="1" x14ac:dyDescent="0.2">
      <c r="A12" s="1"/>
      <c r="B12" s="1"/>
      <c r="C12" s="1"/>
      <c r="D12" s="1"/>
      <c r="E12" s="1"/>
      <c r="F12" s="1"/>
      <c r="G12" s="1"/>
      <c r="H12" s="1"/>
      <c r="I12" s="1"/>
      <c r="J12" s="1"/>
      <c r="K12" s="1"/>
      <c r="L12" s="1"/>
      <c r="M12" s="423"/>
      <c r="N12" s="1"/>
      <c r="O12" s="1"/>
      <c r="P12" s="1"/>
      <c r="Q12" s="583" t="s">
        <v>646</v>
      </c>
      <c r="R12" s="584"/>
      <c r="S12" s="429">
        <f>F16</f>
        <v>525</v>
      </c>
      <c r="T12" s="429">
        <f>F17</f>
        <v>0</v>
      </c>
      <c r="U12" s="429">
        <f>F18</f>
        <v>0</v>
      </c>
      <c r="V12" s="429">
        <f>F19</f>
        <v>0</v>
      </c>
      <c r="W12" s="429">
        <f>F20</f>
        <v>0</v>
      </c>
      <c r="X12" s="429">
        <f>F21</f>
        <v>0</v>
      </c>
      <c r="Z12" s="427" t="s">
        <v>858</v>
      </c>
      <c r="AA12" s="427"/>
      <c r="AB12" s="6"/>
    </row>
    <row r="13" spans="1:28" ht="18" customHeight="1" x14ac:dyDescent="0.25">
      <c r="A13" s="1"/>
      <c r="B13" s="5" t="s">
        <v>691</v>
      </c>
      <c r="C13" s="1"/>
      <c r="D13" s="426" t="s">
        <v>376</v>
      </c>
      <c r="E13" s="426"/>
      <c r="F13" s="426"/>
      <c r="G13" s="426"/>
      <c r="H13" s="1"/>
      <c r="I13" s="1"/>
      <c r="J13" s="1"/>
      <c r="K13" s="1"/>
      <c r="L13" s="1"/>
      <c r="M13" s="1"/>
      <c r="N13" s="1"/>
      <c r="O13" s="1"/>
      <c r="P13" s="1"/>
      <c r="Q13" s="583" t="s">
        <v>647</v>
      </c>
      <c r="R13" s="584"/>
      <c r="S13" s="478">
        <v>0</v>
      </c>
      <c r="T13" s="478">
        <v>0</v>
      </c>
      <c r="U13" s="478">
        <v>0</v>
      </c>
      <c r="V13" s="478">
        <v>0</v>
      </c>
      <c r="W13" s="478">
        <v>0</v>
      </c>
      <c r="X13" s="478">
        <v>0</v>
      </c>
      <c r="Z13" s="428" t="s">
        <v>859</v>
      </c>
      <c r="AA13" s="419"/>
      <c r="AB13" s="6"/>
    </row>
    <row r="14" spans="1:28" ht="18" customHeight="1" x14ac:dyDescent="0.25">
      <c r="A14" s="1"/>
      <c r="B14" s="1"/>
      <c r="C14" s="1"/>
      <c r="D14" s="1"/>
      <c r="E14" s="1"/>
      <c r="F14" s="1"/>
      <c r="G14" s="1"/>
      <c r="H14" s="1"/>
      <c r="I14" s="1"/>
      <c r="J14" s="1"/>
      <c r="K14" s="1"/>
      <c r="L14" s="1"/>
      <c r="M14" s="1"/>
      <c r="N14" s="1"/>
      <c r="O14" s="1"/>
      <c r="P14" s="1"/>
      <c r="Q14" s="583" t="s">
        <v>648</v>
      </c>
      <c r="R14" s="584"/>
      <c r="S14" s="409">
        <f t="shared" ref="S14:X14" si="0">S12*(1-S13)</f>
        <v>525</v>
      </c>
      <c r="T14" s="409">
        <f t="shared" si="0"/>
        <v>0</v>
      </c>
      <c r="U14" s="409">
        <f t="shared" si="0"/>
        <v>0</v>
      </c>
      <c r="V14" s="409">
        <f t="shared" si="0"/>
        <v>0</v>
      </c>
      <c r="W14" s="409">
        <f t="shared" si="0"/>
        <v>0</v>
      </c>
      <c r="X14" s="409">
        <f t="shared" si="0"/>
        <v>0</v>
      </c>
      <c r="Z14" s="430" t="s">
        <v>492</v>
      </c>
      <c r="AA14" s="430" t="s">
        <v>493</v>
      </c>
      <c r="AB14" s="6"/>
    </row>
    <row r="15" spans="1:28" ht="30.75" x14ac:dyDescent="0.25">
      <c r="A15" s="1"/>
      <c r="B15" s="1"/>
      <c r="C15" s="407" t="s">
        <v>377</v>
      </c>
      <c r="D15" s="407" t="s">
        <v>692</v>
      </c>
      <c r="E15" s="407" t="s">
        <v>391</v>
      </c>
      <c r="F15" s="407" t="s">
        <v>693</v>
      </c>
      <c r="G15" s="407" t="s">
        <v>694</v>
      </c>
      <c r="H15" s="407" t="s">
        <v>695</v>
      </c>
      <c r="I15" s="407" t="s">
        <v>559</v>
      </c>
      <c r="J15" s="407" t="s">
        <v>560</v>
      </c>
      <c r="K15" s="407" t="s">
        <v>696</v>
      </c>
      <c r="L15" s="407" t="s">
        <v>697</v>
      </c>
      <c r="M15"/>
      <c r="N15"/>
      <c r="Q15" s="583" t="s">
        <v>682</v>
      </c>
      <c r="R15" s="584"/>
      <c r="S15" s="445"/>
      <c r="T15" s="445"/>
      <c r="U15" s="445"/>
      <c r="V15" s="445"/>
      <c r="W15" s="445"/>
      <c r="X15" s="445"/>
      <c r="Z15" s="434" t="s">
        <v>494</v>
      </c>
      <c r="AA15" s="434" t="s">
        <v>495</v>
      </c>
      <c r="AB15" s="6"/>
    </row>
    <row r="16" spans="1:28" ht="18" customHeight="1" x14ac:dyDescent="0.2">
      <c r="A16" s="1"/>
      <c r="B16" s="1" t="s">
        <v>698</v>
      </c>
      <c r="C16" s="431">
        <v>41671</v>
      </c>
      <c r="D16" s="479">
        <v>212</v>
      </c>
      <c r="E16" s="480">
        <v>1.6</v>
      </c>
      <c r="F16" s="432">
        <v>525</v>
      </c>
      <c r="G16" s="433">
        <f t="shared" ref="G16:G21" si="1">F16*E16</f>
        <v>840</v>
      </c>
      <c r="H16" s="411">
        <f t="shared" ref="H16:H21" si="2">G16*D16</f>
        <v>178080</v>
      </c>
      <c r="I16" s="413">
        <f t="shared" ref="I16:I21" si="3">D16/$D$8</f>
        <v>2.12</v>
      </c>
      <c r="J16" s="413">
        <f t="shared" ref="J16:J21" si="4">IF(D16&lt;=0,0,$D$8/D16)</f>
        <v>0.47169811320754718</v>
      </c>
      <c r="K16" s="413">
        <f t="shared" ref="K16:K21" si="5">D16/$D$9</f>
        <v>2.12</v>
      </c>
      <c r="L16" s="413">
        <f t="shared" ref="L16:L21" si="6">IF(D16&lt;=0,0,$D$9/D16)</f>
        <v>0.47169811320754718</v>
      </c>
      <c r="M16"/>
      <c r="N16"/>
      <c r="Q16" s="583" t="s">
        <v>683</v>
      </c>
      <c r="R16" s="584"/>
      <c r="S16" s="433">
        <f t="shared" ref="S16:X16" si="7">S15*S14</f>
        <v>0</v>
      </c>
      <c r="T16" s="433">
        <f t="shared" si="7"/>
        <v>0</v>
      </c>
      <c r="U16" s="433">
        <f t="shared" si="7"/>
        <v>0</v>
      </c>
      <c r="V16" s="433">
        <f t="shared" si="7"/>
        <v>0</v>
      </c>
      <c r="W16" s="433">
        <f t="shared" si="7"/>
        <v>0</v>
      </c>
      <c r="X16" s="433">
        <f t="shared" si="7"/>
        <v>0</v>
      </c>
      <c r="Z16" s="437">
        <v>250</v>
      </c>
      <c r="AA16" s="437">
        <v>38</v>
      </c>
      <c r="AB16" s="6"/>
    </row>
    <row r="17" spans="1:28" ht="18" customHeight="1" x14ac:dyDescent="0.2">
      <c r="A17" s="1"/>
      <c r="B17" s="1" t="s">
        <v>699</v>
      </c>
      <c r="C17" s="431"/>
      <c r="D17" s="435"/>
      <c r="E17" s="436"/>
      <c r="F17" s="432"/>
      <c r="G17" s="433">
        <f t="shared" si="1"/>
        <v>0</v>
      </c>
      <c r="H17" s="411">
        <f t="shared" si="2"/>
        <v>0</v>
      </c>
      <c r="I17" s="413">
        <f t="shared" si="3"/>
        <v>0</v>
      </c>
      <c r="J17" s="413">
        <f t="shared" si="4"/>
        <v>0</v>
      </c>
      <c r="K17" s="413">
        <f t="shared" si="5"/>
        <v>0</v>
      </c>
      <c r="L17" s="413">
        <f t="shared" si="6"/>
        <v>0</v>
      </c>
      <c r="M17"/>
      <c r="N17"/>
      <c r="Q17" s="583" t="s">
        <v>651</v>
      </c>
      <c r="R17" s="584"/>
      <c r="S17" s="478">
        <v>3.5000000000000003E-2</v>
      </c>
      <c r="T17" s="478"/>
      <c r="U17" s="478"/>
      <c r="V17" s="478"/>
      <c r="W17" s="478"/>
      <c r="X17" s="478"/>
      <c r="Z17" s="438">
        <v>300</v>
      </c>
      <c r="AA17" s="438">
        <v>34</v>
      </c>
      <c r="AB17" s="6"/>
    </row>
    <row r="18" spans="1:28" ht="18" customHeight="1" x14ac:dyDescent="0.2">
      <c r="A18" s="1"/>
      <c r="B18" s="1" t="s">
        <v>700</v>
      </c>
      <c r="C18" s="431"/>
      <c r="D18" s="435"/>
      <c r="E18" s="436"/>
      <c r="F18" s="432"/>
      <c r="G18" s="433">
        <f t="shared" si="1"/>
        <v>0</v>
      </c>
      <c r="H18" s="411">
        <f t="shared" si="2"/>
        <v>0</v>
      </c>
      <c r="I18" s="413">
        <f t="shared" si="3"/>
        <v>0</v>
      </c>
      <c r="J18" s="413">
        <f t="shared" si="4"/>
        <v>0</v>
      </c>
      <c r="K18" s="413">
        <f t="shared" si="5"/>
        <v>0</v>
      </c>
      <c r="L18" s="413">
        <f t="shared" si="6"/>
        <v>0</v>
      </c>
      <c r="Q18" s="583" t="s">
        <v>684</v>
      </c>
      <c r="R18" s="584"/>
      <c r="S18" s="433">
        <f t="shared" ref="S18:X18" si="8">S17*S16</f>
        <v>0</v>
      </c>
      <c r="T18" s="433">
        <f t="shared" si="8"/>
        <v>0</v>
      </c>
      <c r="U18" s="433">
        <f t="shared" si="8"/>
        <v>0</v>
      </c>
      <c r="V18" s="433">
        <f t="shared" si="8"/>
        <v>0</v>
      </c>
      <c r="W18" s="433">
        <f t="shared" si="8"/>
        <v>0</v>
      </c>
      <c r="X18" s="433">
        <f t="shared" si="8"/>
        <v>0</v>
      </c>
      <c r="Z18" s="438">
        <v>350</v>
      </c>
      <c r="AA18" s="438">
        <v>30</v>
      </c>
      <c r="AB18" s="6"/>
    </row>
    <row r="19" spans="1:28" ht="18" customHeight="1" x14ac:dyDescent="0.2">
      <c r="A19" s="1"/>
      <c r="B19" s="1" t="s">
        <v>701</v>
      </c>
      <c r="C19" s="431"/>
      <c r="D19" s="435"/>
      <c r="E19" s="436"/>
      <c r="F19" s="432"/>
      <c r="G19" s="433">
        <f t="shared" si="1"/>
        <v>0</v>
      </c>
      <c r="H19" s="411">
        <f t="shared" si="2"/>
        <v>0</v>
      </c>
      <c r="I19" s="413">
        <f t="shared" si="3"/>
        <v>0</v>
      </c>
      <c r="J19" s="413">
        <f t="shared" si="4"/>
        <v>0</v>
      </c>
      <c r="K19" s="413">
        <f t="shared" si="5"/>
        <v>0</v>
      </c>
      <c r="L19" s="413">
        <f t="shared" si="6"/>
        <v>0</v>
      </c>
      <c r="Q19" s="583" t="s">
        <v>653</v>
      </c>
      <c r="R19" s="584"/>
      <c r="S19" s="445"/>
      <c r="T19" s="445"/>
      <c r="U19" s="445"/>
      <c r="V19" s="445"/>
      <c r="W19" s="445"/>
      <c r="X19" s="445"/>
      <c r="Z19" s="438">
        <v>400</v>
      </c>
      <c r="AA19" s="438">
        <v>28</v>
      </c>
      <c r="AB19" s="6"/>
    </row>
    <row r="20" spans="1:28" ht="18" customHeight="1" x14ac:dyDescent="0.2">
      <c r="A20" s="1"/>
      <c r="B20" s="1" t="s">
        <v>702</v>
      </c>
      <c r="C20" s="431"/>
      <c r="D20" s="435"/>
      <c r="E20" s="436"/>
      <c r="F20" s="432"/>
      <c r="G20" s="433">
        <f t="shared" si="1"/>
        <v>0</v>
      </c>
      <c r="H20" s="411">
        <f t="shared" si="2"/>
        <v>0</v>
      </c>
      <c r="I20" s="413">
        <f t="shared" si="3"/>
        <v>0</v>
      </c>
      <c r="J20" s="413">
        <f t="shared" si="4"/>
        <v>0</v>
      </c>
      <c r="K20" s="413">
        <f t="shared" si="5"/>
        <v>0</v>
      </c>
      <c r="L20" s="413">
        <f t="shared" si="6"/>
        <v>0</v>
      </c>
      <c r="Q20" s="583" t="s">
        <v>685</v>
      </c>
      <c r="R20" s="584"/>
      <c r="S20" s="445"/>
      <c r="T20" s="445"/>
      <c r="U20" s="445"/>
      <c r="V20" s="445"/>
      <c r="W20" s="445"/>
      <c r="X20" s="445"/>
      <c r="Z20" s="438">
        <v>450</v>
      </c>
      <c r="AA20" s="438">
        <v>26</v>
      </c>
      <c r="AB20" s="6"/>
    </row>
    <row r="21" spans="1:28" ht="18" customHeight="1" x14ac:dyDescent="0.2">
      <c r="A21" s="1"/>
      <c r="B21" s="1" t="s">
        <v>703</v>
      </c>
      <c r="C21" s="431"/>
      <c r="D21" s="435"/>
      <c r="E21" s="436"/>
      <c r="F21" s="432"/>
      <c r="G21" s="433">
        <f t="shared" si="1"/>
        <v>0</v>
      </c>
      <c r="H21" s="411">
        <f t="shared" si="2"/>
        <v>0</v>
      </c>
      <c r="I21" s="413">
        <f t="shared" si="3"/>
        <v>0</v>
      </c>
      <c r="J21" s="413">
        <f t="shared" si="4"/>
        <v>0</v>
      </c>
      <c r="K21" s="413">
        <f t="shared" si="5"/>
        <v>0</v>
      </c>
      <c r="L21" s="413">
        <f t="shared" si="6"/>
        <v>0</v>
      </c>
      <c r="Q21" s="583" t="s">
        <v>655</v>
      </c>
      <c r="R21" s="584"/>
      <c r="S21" s="433">
        <f t="shared" ref="S21:X21" si="9">S16-S18-S19-S20</f>
        <v>0</v>
      </c>
      <c r="T21" s="433">
        <f t="shared" si="9"/>
        <v>0</v>
      </c>
      <c r="U21" s="433">
        <f t="shared" si="9"/>
        <v>0</v>
      </c>
      <c r="V21" s="433">
        <f t="shared" si="9"/>
        <v>0</v>
      </c>
      <c r="W21" s="433">
        <f t="shared" si="9"/>
        <v>0</v>
      </c>
      <c r="X21" s="433">
        <f t="shared" si="9"/>
        <v>0</v>
      </c>
      <c r="Z21" s="438">
        <v>500</v>
      </c>
      <c r="AA21" s="438">
        <v>24</v>
      </c>
      <c r="AB21" s="6"/>
    </row>
    <row r="22" spans="1:28" ht="18" customHeight="1" thickBot="1" x14ac:dyDescent="0.25">
      <c r="A22" s="1"/>
      <c r="B22" s="1"/>
      <c r="C22" s="1"/>
      <c r="D22" s="1"/>
      <c r="E22" s="1"/>
      <c r="F22" s="439">
        <f>SUMPRODUCT(D16:D21,F16:F21)</f>
        <v>111300</v>
      </c>
      <c r="G22" s="1"/>
      <c r="H22" s="440">
        <f>SUM(H16:H21)</f>
        <v>178080</v>
      </c>
      <c r="I22" s="1"/>
      <c r="J22" s="1"/>
      <c r="K22" s="1"/>
      <c r="L22" s="1"/>
      <c r="Q22" s="583" t="s">
        <v>656</v>
      </c>
      <c r="R22" s="584"/>
      <c r="S22" s="409">
        <f t="shared" ref="S22:X22" si="10">S12</f>
        <v>525</v>
      </c>
      <c r="T22" s="409">
        <f t="shared" si="10"/>
        <v>0</v>
      </c>
      <c r="U22" s="409">
        <f t="shared" si="10"/>
        <v>0</v>
      </c>
      <c r="V22" s="409">
        <f t="shared" si="10"/>
        <v>0</v>
      </c>
      <c r="W22" s="409">
        <f t="shared" si="10"/>
        <v>0</v>
      </c>
      <c r="X22" s="409">
        <f t="shared" si="10"/>
        <v>0</v>
      </c>
      <c r="Z22" s="438">
        <v>550</v>
      </c>
      <c r="AA22" s="438">
        <v>22</v>
      </c>
      <c r="AB22" s="6"/>
    </row>
    <row r="23" spans="1:28" ht="18" customHeight="1" thickTop="1" x14ac:dyDescent="0.2">
      <c r="A23" s="1"/>
      <c r="B23" s="1"/>
      <c r="C23" s="1"/>
      <c r="D23" s="1"/>
      <c r="E23" s="1"/>
      <c r="F23" s="1"/>
      <c r="G23" s="1"/>
      <c r="H23" s="1"/>
      <c r="I23" s="1"/>
      <c r="J23" s="1"/>
      <c r="K23" s="1"/>
      <c r="L23" s="1"/>
      <c r="M23" s="1"/>
      <c r="N23" s="1"/>
      <c r="O23" s="1"/>
      <c r="P23" s="1"/>
      <c r="Q23" s="583" t="s">
        <v>686</v>
      </c>
      <c r="R23" s="584"/>
      <c r="S23" s="433">
        <f t="shared" ref="S23:X23" si="11">IF(S14&gt;0,(S18+S19+S20)/S14,0)</f>
        <v>0</v>
      </c>
      <c r="T23" s="433">
        <f t="shared" si="11"/>
        <v>0</v>
      </c>
      <c r="U23" s="433">
        <f t="shared" si="11"/>
        <v>0</v>
      </c>
      <c r="V23" s="433">
        <f t="shared" si="11"/>
        <v>0</v>
      </c>
      <c r="W23" s="433">
        <f t="shared" si="11"/>
        <v>0</v>
      </c>
      <c r="X23" s="433">
        <f t="shared" si="11"/>
        <v>0</v>
      </c>
      <c r="Z23" s="438">
        <v>600</v>
      </c>
      <c r="AA23" s="438">
        <v>20</v>
      </c>
      <c r="AB23" s="6"/>
    </row>
    <row r="24" spans="1:28" ht="18" customHeight="1" x14ac:dyDescent="0.2">
      <c r="A24" s="1"/>
      <c r="C24" s="1"/>
      <c r="D24" s="1"/>
      <c r="E24" s="1"/>
      <c r="F24" s="1"/>
      <c r="G24" s="1"/>
      <c r="H24" s="1"/>
      <c r="I24" s="1"/>
      <c r="J24" s="1"/>
      <c r="K24" s="1"/>
      <c r="L24" s="1"/>
      <c r="M24" s="1"/>
      <c r="N24" s="1"/>
      <c r="O24" s="1"/>
      <c r="P24" s="1"/>
      <c r="Q24" s="583" t="s">
        <v>687</v>
      </c>
      <c r="R24" s="584"/>
      <c r="S24" s="433">
        <f t="shared" ref="S24:X24" si="12">IF(S22&gt;0,S21/S22,0)</f>
        <v>0</v>
      </c>
      <c r="T24" s="433">
        <f t="shared" si="12"/>
        <v>0</v>
      </c>
      <c r="U24" s="433">
        <f t="shared" si="12"/>
        <v>0</v>
      </c>
      <c r="V24" s="433">
        <f t="shared" si="12"/>
        <v>0</v>
      </c>
      <c r="W24" s="433">
        <f t="shared" si="12"/>
        <v>0</v>
      </c>
      <c r="X24" s="433">
        <f t="shared" si="12"/>
        <v>0</v>
      </c>
      <c r="Z24" s="438">
        <v>650</v>
      </c>
      <c r="AA24" s="438">
        <v>18</v>
      </c>
      <c r="AB24" s="6"/>
    </row>
    <row r="25" spans="1:28" customFormat="1" ht="18" customHeight="1" x14ac:dyDescent="0.2"/>
    <row r="26" spans="1:28" customFormat="1" ht="18" customHeight="1" x14ac:dyDescent="0.25">
      <c r="B26" s="5" t="s">
        <v>390</v>
      </c>
      <c r="C26" s="419"/>
      <c r="D26" s="193"/>
      <c r="E26" s="193"/>
      <c r="F26" s="193"/>
      <c r="G26" s="193"/>
      <c r="H26" s="193"/>
      <c r="I26" s="193"/>
      <c r="J26" s="419"/>
      <c r="K26" s="419"/>
      <c r="L26" s="245"/>
    </row>
    <row r="27" spans="1:28" customFormat="1" ht="18" customHeight="1" x14ac:dyDescent="0.25">
      <c r="B27" s="446"/>
      <c r="C27" s="255"/>
      <c r="D27" s="193"/>
      <c r="E27" s="193"/>
      <c r="F27" s="193"/>
      <c r="G27" s="193"/>
      <c r="H27" s="193"/>
      <c r="I27" s="193"/>
      <c r="J27" s="193"/>
      <c r="K27" s="419"/>
      <c r="L27" s="245"/>
    </row>
    <row r="28" spans="1:28" customFormat="1" ht="30.75" x14ac:dyDescent="0.25">
      <c r="C28" s="407" t="s">
        <v>866</v>
      </c>
      <c r="D28" s="407" t="s">
        <v>867</v>
      </c>
      <c r="E28" s="407" t="s">
        <v>384</v>
      </c>
      <c r="F28" s="408" t="s">
        <v>716</v>
      </c>
      <c r="G28" s="408" t="s">
        <v>385</v>
      </c>
      <c r="H28" s="408" t="s">
        <v>386</v>
      </c>
      <c r="I28" s="407" t="s">
        <v>387</v>
      </c>
      <c r="J28" s="407" t="s">
        <v>389</v>
      </c>
      <c r="K28" s="407" t="s">
        <v>688</v>
      </c>
      <c r="L28" s="407" t="s">
        <v>388</v>
      </c>
      <c r="Z28" s="446" t="s">
        <v>375</v>
      </c>
      <c r="AA28" s="419"/>
    </row>
    <row r="29" spans="1:28" customFormat="1" ht="18" customHeight="1" x14ac:dyDescent="0.2">
      <c r="B29" s="1" t="s">
        <v>698</v>
      </c>
      <c r="C29" s="409">
        <f t="shared" ref="C29:C34" si="13">D16</f>
        <v>212</v>
      </c>
      <c r="D29" s="409">
        <f t="shared" ref="D29:D34" si="14">F16</f>
        <v>525</v>
      </c>
      <c r="E29" s="450">
        <v>189.5</v>
      </c>
      <c r="F29" s="451">
        <v>1.9</v>
      </c>
      <c r="G29" s="450">
        <v>20</v>
      </c>
      <c r="H29" s="411">
        <f t="shared" ref="H29:H34" si="15">IF(C29&gt;0,C29*E29*F29/G29,0)</f>
        <v>3816.5299999999997</v>
      </c>
      <c r="I29" s="433">
        <f t="shared" ref="I29:I34" si="16">IF(C29&gt;0,H29/C29,0)</f>
        <v>18.002499999999998</v>
      </c>
      <c r="J29" s="549">
        <v>0</v>
      </c>
      <c r="K29" s="549">
        <v>0</v>
      </c>
      <c r="L29" s="433">
        <f t="shared" ref="L29:L34" si="17">K29*C29</f>
        <v>0</v>
      </c>
      <c r="Z29" s="419"/>
      <c r="AA29" s="419"/>
    </row>
    <row r="30" spans="1:28" customFormat="1" ht="18" customHeight="1" x14ac:dyDescent="0.25">
      <c r="B30" s="1" t="s">
        <v>699</v>
      </c>
      <c r="C30" s="409">
        <f t="shared" si="13"/>
        <v>0</v>
      </c>
      <c r="D30" s="409">
        <f t="shared" si="14"/>
        <v>0</v>
      </c>
      <c r="E30" s="450"/>
      <c r="F30" s="451"/>
      <c r="G30" s="450"/>
      <c r="H30" s="411">
        <f t="shared" si="15"/>
        <v>0</v>
      </c>
      <c r="I30" s="433">
        <f t="shared" si="16"/>
        <v>0</v>
      </c>
      <c r="J30" s="549">
        <v>0</v>
      </c>
      <c r="K30" s="549">
        <v>0</v>
      </c>
      <c r="L30" s="433">
        <f t="shared" si="17"/>
        <v>0</v>
      </c>
      <c r="Z30" s="362" t="s">
        <v>374</v>
      </c>
      <c r="AA30" s="548">
        <f>D16</f>
        <v>212</v>
      </c>
    </row>
    <row r="31" spans="1:28" customFormat="1" ht="18" customHeight="1" x14ac:dyDescent="0.25">
      <c r="B31" s="1" t="s">
        <v>700</v>
      </c>
      <c r="C31" s="409">
        <f t="shared" si="13"/>
        <v>0</v>
      </c>
      <c r="D31" s="409">
        <f t="shared" si="14"/>
        <v>0</v>
      </c>
      <c r="E31" s="450"/>
      <c r="F31" s="451"/>
      <c r="G31" s="450"/>
      <c r="H31" s="411">
        <f t="shared" si="15"/>
        <v>0</v>
      </c>
      <c r="I31" s="433">
        <f t="shared" si="16"/>
        <v>0</v>
      </c>
      <c r="J31" s="549">
        <v>0</v>
      </c>
      <c r="K31" s="549">
        <v>0</v>
      </c>
      <c r="L31" s="433">
        <f t="shared" si="17"/>
        <v>0</v>
      </c>
      <c r="Z31" s="362" t="s">
        <v>868</v>
      </c>
      <c r="AA31" s="256">
        <v>200</v>
      </c>
    </row>
    <row r="32" spans="1:28" customFormat="1" ht="18" customHeight="1" x14ac:dyDescent="0.25">
      <c r="B32" s="1" t="s">
        <v>701</v>
      </c>
      <c r="C32" s="409">
        <f t="shared" si="13"/>
        <v>0</v>
      </c>
      <c r="D32" s="409">
        <f t="shared" si="14"/>
        <v>0</v>
      </c>
      <c r="E32" s="450"/>
      <c r="F32" s="451"/>
      <c r="G32" s="450"/>
      <c r="H32" s="411">
        <f t="shared" si="15"/>
        <v>0</v>
      </c>
      <c r="I32" s="433">
        <f t="shared" si="16"/>
        <v>0</v>
      </c>
      <c r="J32" s="549">
        <v>0</v>
      </c>
      <c r="K32" s="549">
        <v>0</v>
      </c>
      <c r="L32" s="433">
        <f t="shared" si="17"/>
        <v>0</v>
      </c>
      <c r="Z32" s="362" t="s">
        <v>869</v>
      </c>
      <c r="AA32" s="257">
        <v>2</v>
      </c>
    </row>
    <row r="33" spans="1:38" customFormat="1" ht="18" customHeight="1" x14ac:dyDescent="0.25">
      <c r="B33" s="1" t="s">
        <v>702</v>
      </c>
      <c r="C33" s="409">
        <f t="shared" si="13"/>
        <v>0</v>
      </c>
      <c r="D33" s="409">
        <f t="shared" si="14"/>
        <v>0</v>
      </c>
      <c r="E33" s="450"/>
      <c r="F33" s="451"/>
      <c r="G33" s="450"/>
      <c r="H33" s="411">
        <f t="shared" si="15"/>
        <v>0</v>
      </c>
      <c r="I33" s="433">
        <f t="shared" si="16"/>
        <v>0</v>
      </c>
      <c r="J33" s="549">
        <v>0</v>
      </c>
      <c r="K33" s="549">
        <v>0</v>
      </c>
      <c r="L33" s="433">
        <f t="shared" si="17"/>
        <v>0</v>
      </c>
      <c r="Z33" s="362" t="s">
        <v>870</v>
      </c>
      <c r="AA33" s="256">
        <v>28</v>
      </c>
    </row>
    <row r="34" spans="1:38" customFormat="1" ht="18" customHeight="1" x14ac:dyDescent="0.25">
      <c r="B34" s="1" t="s">
        <v>703</v>
      </c>
      <c r="C34" s="409">
        <f t="shared" si="13"/>
        <v>0</v>
      </c>
      <c r="D34" s="409">
        <f t="shared" si="14"/>
        <v>0</v>
      </c>
      <c r="E34" s="450"/>
      <c r="F34" s="451"/>
      <c r="G34" s="450"/>
      <c r="H34" s="411">
        <f t="shared" si="15"/>
        <v>0</v>
      </c>
      <c r="I34" s="433">
        <f t="shared" si="16"/>
        <v>0</v>
      </c>
      <c r="J34" s="549">
        <v>0</v>
      </c>
      <c r="K34" s="549">
        <v>0</v>
      </c>
      <c r="L34" s="433">
        <f t="shared" si="17"/>
        <v>0</v>
      </c>
      <c r="Z34" s="362" t="s">
        <v>993</v>
      </c>
      <c r="AA34" s="411">
        <f>IF(AA30&gt;0,AA30*AA31*AA32/AA33,0)</f>
        <v>3028.5714285714284</v>
      </c>
    </row>
    <row r="35" spans="1:38" customFormat="1" ht="18" customHeight="1" thickBot="1" x14ac:dyDescent="0.3">
      <c r="B35" s="419"/>
      <c r="C35" s="419"/>
      <c r="D35" s="419"/>
      <c r="E35" s="419"/>
      <c r="F35" s="419"/>
      <c r="G35" s="419"/>
      <c r="H35" s="440">
        <f>SUM(H29:H34)</f>
        <v>3816.5299999999997</v>
      </c>
      <c r="I35" s="419"/>
      <c r="J35" s="440">
        <f>SUM(J29:J34)</f>
        <v>0</v>
      </c>
      <c r="K35" s="419"/>
      <c r="L35" s="440">
        <f>SUM(L29:L34)</f>
        <v>0</v>
      </c>
      <c r="Z35" s="362" t="s">
        <v>871</v>
      </c>
      <c r="AA35" s="433">
        <f>IF(AA30&gt;0,AA34/AA30,0)</f>
        <v>14.285714285714285</v>
      </c>
    </row>
    <row r="36" spans="1:38" customFormat="1" ht="18" customHeight="1" thickTop="1" x14ac:dyDescent="0.2"/>
    <row r="37" spans="1:38" customFormat="1" ht="18" customHeight="1" x14ac:dyDescent="0.2"/>
    <row r="38" spans="1:38" customFormat="1" ht="18" customHeight="1" x14ac:dyDescent="0.25">
      <c r="B38" s="5" t="s">
        <v>392</v>
      </c>
      <c r="C38" s="1"/>
      <c r="D38" s="1"/>
      <c r="E38" s="1"/>
      <c r="F38" s="1"/>
      <c r="G38" s="1"/>
      <c r="H38" s="1"/>
      <c r="I38" s="1"/>
      <c r="J38" s="1"/>
      <c r="K38" s="1"/>
      <c r="L38" s="419"/>
      <c r="M38" s="419"/>
      <c r="N38" s="419"/>
      <c r="O38" s="419"/>
      <c r="P38" s="419"/>
    </row>
    <row r="39" spans="1:38" ht="18" customHeight="1" x14ac:dyDescent="0.2">
      <c r="A39" s="1"/>
      <c r="B39" s="1"/>
      <c r="C39" s="1"/>
      <c r="D39" s="1"/>
      <c r="E39" s="1"/>
      <c r="F39" s="1"/>
      <c r="G39" s="1"/>
      <c r="H39" s="1"/>
      <c r="I39" s="1"/>
      <c r="J39" s="1"/>
      <c r="K39" s="1"/>
      <c r="Q39" s="1"/>
      <c r="R39" s="1"/>
      <c r="S39" s="1"/>
      <c r="T39" s="1"/>
      <c r="U39" s="1"/>
      <c r="V39" s="1"/>
      <c r="W39" s="1"/>
      <c r="X39" s="1"/>
      <c r="AA39" s="419"/>
    </row>
    <row r="40" spans="1:38" ht="28.5" customHeight="1" x14ac:dyDescent="0.2">
      <c r="A40" s="1"/>
      <c r="B40" s="1"/>
      <c r="C40" s="407" t="s">
        <v>720</v>
      </c>
      <c r="D40" s="408" t="s">
        <v>883</v>
      </c>
      <c r="E40" s="408" t="s">
        <v>884</v>
      </c>
      <c r="F40" s="408" t="s">
        <v>885</v>
      </c>
      <c r="G40" s="408" t="s">
        <v>886</v>
      </c>
      <c r="H40" s="408" t="s">
        <v>887</v>
      </c>
      <c r="I40" s="408" t="s">
        <v>888</v>
      </c>
      <c r="J40" s="408" t="s">
        <v>889</v>
      </c>
      <c r="K40" s="408" t="s">
        <v>395</v>
      </c>
      <c r="L40" s="408" t="s">
        <v>337</v>
      </c>
      <c r="M40" s="408" t="s">
        <v>993</v>
      </c>
      <c r="X40" s="1"/>
      <c r="Y40" s="1"/>
      <c r="AA40" s="419"/>
    </row>
    <row r="41" spans="1:38" ht="18" customHeight="1" x14ac:dyDescent="0.2">
      <c r="A41" s="1"/>
      <c r="B41" s="1" t="s">
        <v>698</v>
      </c>
      <c r="C41" s="409">
        <f t="shared" ref="C41:C46" si="18">D16</f>
        <v>212</v>
      </c>
      <c r="D41" s="410"/>
      <c r="E41" s="410"/>
      <c r="F41" s="410"/>
      <c r="G41" s="410">
        <v>0.38</v>
      </c>
      <c r="H41" s="410"/>
      <c r="I41" s="410"/>
      <c r="J41" s="410"/>
      <c r="K41" s="410"/>
      <c r="L41" s="410"/>
      <c r="M41" s="411">
        <f t="shared" ref="M41:M46" si="19">SUM(D41:L41)*C41</f>
        <v>80.56</v>
      </c>
      <c r="X41" s="1"/>
      <c r="AA41" s="419"/>
      <c r="AB41" s="419"/>
      <c r="AC41" s="419"/>
      <c r="AD41" s="419"/>
      <c r="AE41" s="419"/>
      <c r="AF41" s="419"/>
    </row>
    <row r="42" spans="1:38" ht="18" customHeight="1" x14ac:dyDescent="0.2">
      <c r="A42" s="1"/>
      <c r="B42" s="1" t="s">
        <v>699</v>
      </c>
      <c r="C42" s="409">
        <f t="shared" si="18"/>
        <v>0</v>
      </c>
      <c r="D42" s="410"/>
      <c r="E42" s="410"/>
      <c r="F42" s="410"/>
      <c r="G42" s="410"/>
      <c r="H42" s="410"/>
      <c r="I42" s="410"/>
      <c r="J42" s="410"/>
      <c r="K42" s="410"/>
      <c r="L42" s="410"/>
      <c r="M42" s="411">
        <f t="shared" si="19"/>
        <v>0</v>
      </c>
      <c r="X42" s="1"/>
      <c r="AA42" s="419"/>
      <c r="AB42" s="419"/>
      <c r="AC42" s="419"/>
      <c r="AD42" s="419"/>
      <c r="AE42" s="419"/>
      <c r="AF42" s="419"/>
    </row>
    <row r="43" spans="1:38" ht="18" customHeight="1" x14ac:dyDescent="0.2">
      <c r="A43" s="1"/>
      <c r="B43" s="1" t="s">
        <v>700</v>
      </c>
      <c r="C43" s="409">
        <f t="shared" si="18"/>
        <v>0</v>
      </c>
      <c r="D43" s="410"/>
      <c r="E43" s="410"/>
      <c r="F43" s="410"/>
      <c r="G43" s="410"/>
      <c r="H43" s="410"/>
      <c r="I43" s="410"/>
      <c r="J43" s="410"/>
      <c r="K43" s="410"/>
      <c r="L43" s="410"/>
      <c r="M43" s="411">
        <f t="shared" si="19"/>
        <v>0</v>
      </c>
      <c r="X43" s="1"/>
      <c r="AA43" s="419"/>
      <c r="AB43" s="419"/>
      <c r="AC43" s="419"/>
      <c r="AD43" s="419"/>
      <c r="AE43" s="419"/>
      <c r="AF43" s="419"/>
    </row>
    <row r="44" spans="1:38" ht="18" customHeight="1" x14ac:dyDescent="0.2">
      <c r="A44" s="1"/>
      <c r="B44" s="1" t="s">
        <v>701</v>
      </c>
      <c r="C44" s="409">
        <f t="shared" si="18"/>
        <v>0</v>
      </c>
      <c r="D44" s="410"/>
      <c r="E44" s="410"/>
      <c r="F44" s="410"/>
      <c r="G44" s="410"/>
      <c r="H44" s="410"/>
      <c r="I44" s="410"/>
      <c r="J44" s="410"/>
      <c r="K44" s="410"/>
      <c r="L44" s="410"/>
      <c r="M44" s="411">
        <f t="shared" si="19"/>
        <v>0</v>
      </c>
      <c r="X44" s="1"/>
      <c r="AA44" s="419"/>
      <c r="AB44" s="419"/>
      <c r="AC44" s="419"/>
      <c r="AD44" s="419"/>
      <c r="AE44" s="419"/>
      <c r="AF44" s="419"/>
    </row>
    <row r="45" spans="1:38" ht="18" customHeight="1" x14ac:dyDescent="0.2">
      <c r="A45" s="1"/>
      <c r="B45" s="1" t="s">
        <v>702</v>
      </c>
      <c r="C45" s="409">
        <f t="shared" si="18"/>
        <v>0</v>
      </c>
      <c r="D45" s="410"/>
      <c r="E45" s="410"/>
      <c r="F45" s="410"/>
      <c r="G45" s="410"/>
      <c r="H45" s="410"/>
      <c r="I45" s="410"/>
      <c r="J45" s="410"/>
      <c r="K45" s="410"/>
      <c r="L45" s="410"/>
      <c r="M45" s="411">
        <f t="shared" si="19"/>
        <v>0</v>
      </c>
      <c r="X45" s="1"/>
      <c r="AA45" s="419"/>
      <c r="AB45" s="419"/>
      <c r="AC45" s="419"/>
      <c r="AD45" s="419"/>
      <c r="AE45" s="419"/>
      <c r="AF45" s="419"/>
      <c r="AL45" s="444"/>
    </row>
    <row r="46" spans="1:38" ht="18" customHeight="1" x14ac:dyDescent="0.2">
      <c r="A46" s="1"/>
      <c r="B46" s="1" t="s">
        <v>703</v>
      </c>
      <c r="C46" s="409">
        <f t="shared" si="18"/>
        <v>0</v>
      </c>
      <c r="D46" s="410"/>
      <c r="E46" s="410"/>
      <c r="F46" s="410"/>
      <c r="G46" s="410"/>
      <c r="H46" s="410"/>
      <c r="I46" s="410"/>
      <c r="J46" s="410"/>
      <c r="K46" s="410"/>
      <c r="L46" s="410"/>
      <c r="M46" s="411">
        <f t="shared" si="19"/>
        <v>0</v>
      </c>
      <c r="X46" s="1"/>
      <c r="AA46" s="419"/>
      <c r="AB46" s="419"/>
      <c r="AC46" s="419"/>
      <c r="AD46" s="419"/>
      <c r="AE46" s="419"/>
      <c r="AF46" s="419"/>
      <c r="AK46" s="444"/>
      <c r="AL46" s="444"/>
    </row>
    <row r="47" spans="1:38" ht="18" customHeight="1" x14ac:dyDescent="0.2">
      <c r="A47" s="1"/>
      <c r="B47" s="1"/>
      <c r="C47" s="1"/>
      <c r="D47" s="412">
        <f t="shared" ref="D47:L47" si="20">SUMPRODUCT($C$41:$C$46,D41:D46)</f>
        <v>0</v>
      </c>
      <c r="E47" s="412">
        <f t="shared" si="20"/>
        <v>0</v>
      </c>
      <c r="F47" s="412">
        <f t="shared" si="20"/>
        <v>0</v>
      </c>
      <c r="G47" s="412">
        <f t="shared" si="20"/>
        <v>80.56</v>
      </c>
      <c r="H47" s="412">
        <f t="shared" si="20"/>
        <v>0</v>
      </c>
      <c r="I47" s="412">
        <f t="shared" si="20"/>
        <v>0</v>
      </c>
      <c r="J47" s="412">
        <f t="shared" si="20"/>
        <v>0</v>
      </c>
      <c r="K47" s="412">
        <f t="shared" si="20"/>
        <v>0</v>
      </c>
      <c r="L47" s="412">
        <f t="shared" si="20"/>
        <v>0</v>
      </c>
      <c r="M47" s="411">
        <f>SUM(M41:M46)</f>
        <v>80.56</v>
      </c>
      <c r="X47" s="1"/>
      <c r="AA47" s="419"/>
      <c r="AB47" s="419"/>
      <c r="AC47" s="419"/>
      <c r="AD47" s="419"/>
      <c r="AE47" s="419"/>
      <c r="AF47" s="419"/>
      <c r="AK47" s="444"/>
      <c r="AL47" s="444"/>
    </row>
    <row r="48" spans="1:38" ht="18" customHeight="1" x14ac:dyDescent="0.2">
      <c r="A48" s="1"/>
      <c r="Q48" s="1"/>
      <c r="R48" s="1"/>
      <c r="S48" s="1"/>
      <c r="T48" s="1"/>
      <c r="U48" s="1"/>
      <c r="V48" s="1"/>
      <c r="W48" s="1"/>
      <c r="X48" s="1"/>
      <c r="AA48" s="419"/>
      <c r="AB48" s="419"/>
      <c r="AC48" s="419"/>
      <c r="AD48" s="419"/>
      <c r="AE48" s="419"/>
      <c r="AF48" s="419"/>
      <c r="AK48" s="444"/>
      <c r="AL48" s="444"/>
    </row>
    <row r="49" spans="1:38" ht="18" customHeight="1" x14ac:dyDescent="0.2">
      <c r="A49" s="1"/>
      <c r="Q49" s="1"/>
      <c r="R49" s="1"/>
      <c r="S49" s="1"/>
      <c r="T49" s="1"/>
      <c r="U49" s="1"/>
      <c r="V49" s="1"/>
      <c r="W49" s="1"/>
      <c r="X49" s="1"/>
      <c r="AA49" s="419"/>
      <c r="AB49" s="419"/>
      <c r="AC49" s="419"/>
      <c r="AD49" s="419"/>
      <c r="AE49" s="419"/>
      <c r="AF49" s="419"/>
      <c r="AK49" s="444"/>
      <c r="AL49" s="444"/>
    </row>
    <row r="50" spans="1:38" ht="18" customHeight="1" x14ac:dyDescent="0.2">
      <c r="A50" s="1"/>
      <c r="Q50" s="1"/>
      <c r="R50" s="1"/>
      <c r="S50" s="1"/>
      <c r="T50" s="1"/>
      <c r="U50" s="1"/>
      <c r="V50" s="1"/>
      <c r="W50" s="1"/>
      <c r="X50" s="1"/>
      <c r="AA50" s="419"/>
      <c r="AB50" s="419"/>
      <c r="AC50" s="419"/>
      <c r="AD50" s="419"/>
      <c r="AE50" s="419"/>
      <c r="AF50" s="419"/>
      <c r="AK50" s="444"/>
      <c r="AL50" s="444"/>
    </row>
    <row r="51" spans="1:38" ht="18" customHeight="1" x14ac:dyDescent="0.25">
      <c r="A51" s="1"/>
      <c r="B51" s="5" t="s">
        <v>401</v>
      </c>
      <c r="C51"/>
      <c r="D51"/>
      <c r="E51"/>
      <c r="F51"/>
      <c r="G51"/>
      <c r="H51"/>
      <c r="I51"/>
      <c r="J51"/>
      <c r="K51"/>
      <c r="L51"/>
      <c r="M51"/>
      <c r="N51"/>
      <c r="O51"/>
      <c r="P51"/>
      <c r="Q51" s="1"/>
      <c r="R51" s="1"/>
      <c r="S51" s="1"/>
      <c r="T51" s="1"/>
      <c r="U51" s="1"/>
      <c r="V51" s="1"/>
      <c r="W51" s="1"/>
      <c r="X51" s="1"/>
      <c r="AA51" s="419"/>
      <c r="AB51" s="419"/>
      <c r="AC51" s="419"/>
      <c r="AD51" s="419"/>
      <c r="AE51" s="419"/>
      <c r="AF51" s="419"/>
      <c r="AK51" s="444"/>
      <c r="AL51" s="444"/>
    </row>
    <row r="52" spans="1:38" ht="18" customHeight="1" x14ac:dyDescent="0.25">
      <c r="A52" s="1"/>
      <c r="B52" s="5"/>
      <c r="C52" s="1"/>
      <c r="D52" s="1"/>
      <c r="E52" s="1"/>
      <c r="F52" s="1"/>
      <c r="G52" s="1"/>
      <c r="H52" s="1"/>
      <c r="I52" s="1"/>
      <c r="J52" s="1"/>
      <c r="K52" s="1"/>
      <c r="L52" s="1"/>
      <c r="M52" s="1"/>
      <c r="N52" s="1"/>
      <c r="O52" s="1"/>
      <c r="P52" s="1"/>
      <c r="Q52" s="1"/>
      <c r="R52" s="1"/>
      <c r="S52" s="1"/>
      <c r="T52" s="1"/>
      <c r="U52" s="1"/>
      <c r="V52" s="1"/>
      <c r="W52" s="1"/>
      <c r="X52" s="1"/>
      <c r="AA52" s="419"/>
      <c r="AB52" s="419"/>
      <c r="AC52" s="419"/>
      <c r="AD52" s="419"/>
      <c r="AE52" s="419"/>
      <c r="AF52" s="419"/>
      <c r="AK52" s="444"/>
      <c r="AL52" s="444"/>
    </row>
    <row r="53" spans="1:38" ht="30" x14ac:dyDescent="0.2">
      <c r="A53" s="1"/>
      <c r="B53" s="1"/>
      <c r="C53" s="407" t="s">
        <v>704</v>
      </c>
      <c r="D53" s="407" t="s">
        <v>824</v>
      </c>
      <c r="E53" s="407" t="s">
        <v>705</v>
      </c>
      <c r="F53" s="407" t="s">
        <v>378</v>
      </c>
      <c r="G53" s="407" t="s">
        <v>379</v>
      </c>
      <c r="H53" s="407" t="s">
        <v>706</v>
      </c>
      <c r="I53" s="407" t="s">
        <v>380</v>
      </c>
      <c r="J53" s="407" t="s">
        <v>850</v>
      </c>
      <c r="K53" s="407" t="s">
        <v>707</v>
      </c>
      <c r="L53" s="407" t="s">
        <v>708</v>
      </c>
      <c r="M53" s="407" t="s">
        <v>855</v>
      </c>
      <c r="N53" s="407" t="s">
        <v>851</v>
      </c>
      <c r="O53" s="407" t="s">
        <v>856</v>
      </c>
      <c r="Q53" s="1"/>
      <c r="R53" s="1"/>
      <c r="S53" s="1"/>
      <c r="T53" s="1"/>
      <c r="U53" s="1"/>
      <c r="V53" s="1"/>
      <c r="W53" s="1"/>
      <c r="X53" s="1"/>
      <c r="AA53" s="419"/>
      <c r="AB53" s="419"/>
      <c r="AC53" s="419"/>
      <c r="AD53" s="419"/>
      <c r="AE53" s="419"/>
      <c r="AF53" s="419"/>
      <c r="AK53" s="444"/>
      <c r="AL53" s="444"/>
    </row>
    <row r="54" spans="1:38" ht="18" customHeight="1" x14ac:dyDescent="0.2">
      <c r="A54" s="1"/>
      <c r="B54" s="1" t="s">
        <v>698</v>
      </c>
      <c r="C54" s="431">
        <f>C16+130</f>
        <v>41801</v>
      </c>
      <c r="D54" s="409">
        <f t="shared" ref="D54:D59" si="21">C54-C16</f>
        <v>130</v>
      </c>
      <c r="E54" s="429">
        <v>596.5</v>
      </c>
      <c r="F54" s="409">
        <f t="shared" ref="F54:F59" si="22">E54-F16</f>
        <v>71.5</v>
      </c>
      <c r="G54" s="413">
        <f t="shared" ref="G54:G59" si="23">IF(F54&lt;=0,0,F54/D54)</f>
        <v>0.55000000000000004</v>
      </c>
      <c r="H54" s="441">
        <f>D16</f>
        <v>212</v>
      </c>
      <c r="I54" s="421">
        <f t="shared" ref="I54:I59" si="24">IF(H54&lt;=0,0,(H54-D16)/D16)</f>
        <v>0</v>
      </c>
      <c r="J54" s="442">
        <v>1.6639999999999999</v>
      </c>
      <c r="K54" s="550">
        <f t="shared" ref="K54:K59" si="25">J54*E54</f>
        <v>992.57599999999991</v>
      </c>
      <c r="L54" s="411">
        <f t="shared" ref="L54:L59" si="26">K54*H54</f>
        <v>210426.11199999999</v>
      </c>
      <c r="M54" s="409">
        <f t="shared" ref="M54:M59" si="27">E54*H54</f>
        <v>126458</v>
      </c>
      <c r="N54" s="415">
        <v>0.52</v>
      </c>
      <c r="O54" s="409">
        <f t="shared" ref="O54:O59" si="28">N54*M54</f>
        <v>65758.16</v>
      </c>
      <c r="Q54" s="1"/>
      <c r="R54" s="1"/>
      <c r="S54" s="1"/>
      <c r="T54" s="1"/>
      <c r="U54" s="1"/>
      <c r="V54" s="1"/>
      <c r="W54" s="1"/>
      <c r="X54" s="1"/>
      <c r="AA54" s="419"/>
      <c r="AB54" s="419"/>
      <c r="AC54" s="419"/>
      <c r="AD54" s="419"/>
      <c r="AE54" s="419"/>
      <c r="AF54" s="419"/>
      <c r="AK54" s="444"/>
      <c r="AL54" s="444"/>
    </row>
    <row r="55" spans="1:38" ht="18" customHeight="1" x14ac:dyDescent="0.2">
      <c r="A55" s="1"/>
      <c r="B55" s="1" t="s">
        <v>699</v>
      </c>
      <c r="C55" s="431"/>
      <c r="D55" s="409">
        <f t="shared" si="21"/>
        <v>0</v>
      </c>
      <c r="E55" s="429"/>
      <c r="F55" s="409">
        <f t="shared" si="22"/>
        <v>0</v>
      </c>
      <c r="G55" s="413">
        <f t="shared" si="23"/>
        <v>0</v>
      </c>
      <c r="H55" s="435"/>
      <c r="I55" s="421">
        <f t="shared" si="24"/>
        <v>0</v>
      </c>
      <c r="J55" s="442"/>
      <c r="K55" s="550">
        <f t="shared" si="25"/>
        <v>0</v>
      </c>
      <c r="L55" s="411">
        <f t="shared" si="26"/>
        <v>0</v>
      </c>
      <c r="M55" s="409">
        <f t="shared" si="27"/>
        <v>0</v>
      </c>
      <c r="N55" s="415">
        <v>0.52</v>
      </c>
      <c r="O55" s="409">
        <f t="shared" si="28"/>
        <v>0</v>
      </c>
      <c r="Q55" s="1"/>
      <c r="R55" s="1"/>
      <c r="S55" s="1"/>
      <c r="T55" s="1"/>
      <c r="U55" s="1"/>
      <c r="V55" s="1"/>
      <c r="W55" s="1"/>
      <c r="X55" s="1"/>
      <c r="AA55" s="419"/>
      <c r="AB55" s="419"/>
      <c r="AC55" s="419"/>
      <c r="AD55" s="419"/>
      <c r="AE55" s="419"/>
      <c r="AF55" s="419"/>
      <c r="AK55" s="444"/>
      <c r="AL55" s="444"/>
    </row>
    <row r="56" spans="1:38" x14ac:dyDescent="0.2">
      <c r="A56" s="1"/>
      <c r="B56" s="1" t="s">
        <v>700</v>
      </c>
      <c r="C56" s="431"/>
      <c r="D56" s="409">
        <f t="shared" si="21"/>
        <v>0</v>
      </c>
      <c r="E56" s="429"/>
      <c r="F56" s="409">
        <f t="shared" si="22"/>
        <v>0</v>
      </c>
      <c r="G56" s="413">
        <f t="shared" si="23"/>
        <v>0</v>
      </c>
      <c r="H56" s="435"/>
      <c r="I56" s="421">
        <f t="shared" si="24"/>
        <v>0</v>
      </c>
      <c r="J56" s="442"/>
      <c r="K56" s="550">
        <f t="shared" si="25"/>
        <v>0</v>
      </c>
      <c r="L56" s="411">
        <f t="shared" si="26"/>
        <v>0</v>
      </c>
      <c r="M56" s="409">
        <f t="shared" si="27"/>
        <v>0</v>
      </c>
      <c r="N56" s="415">
        <v>0.52</v>
      </c>
      <c r="O56" s="409">
        <f t="shared" si="28"/>
        <v>0</v>
      </c>
      <c r="Q56" s="1"/>
      <c r="R56" s="1"/>
      <c r="S56" s="1"/>
      <c r="T56" s="1"/>
      <c r="U56" s="1"/>
      <c r="V56" s="1"/>
      <c r="W56" s="1"/>
      <c r="X56" s="1"/>
      <c r="AA56" s="419"/>
      <c r="AB56" s="419"/>
      <c r="AC56" s="419"/>
      <c r="AD56" s="419"/>
      <c r="AE56" s="419"/>
      <c r="AF56" s="419"/>
      <c r="AK56" s="444"/>
      <c r="AL56" s="444"/>
    </row>
    <row r="57" spans="1:38" ht="18" customHeight="1" x14ac:dyDescent="0.2">
      <c r="A57" s="1"/>
      <c r="B57" s="1" t="s">
        <v>701</v>
      </c>
      <c r="C57" s="431"/>
      <c r="D57" s="409">
        <f t="shared" si="21"/>
        <v>0</v>
      </c>
      <c r="E57" s="435"/>
      <c r="F57" s="409">
        <f t="shared" si="22"/>
        <v>0</v>
      </c>
      <c r="G57" s="413">
        <f t="shared" si="23"/>
        <v>0</v>
      </c>
      <c r="H57" s="435"/>
      <c r="I57" s="421">
        <f t="shared" si="24"/>
        <v>0</v>
      </c>
      <c r="J57" s="442"/>
      <c r="K57" s="550">
        <f t="shared" si="25"/>
        <v>0</v>
      </c>
      <c r="L57" s="411">
        <f t="shared" si="26"/>
        <v>0</v>
      </c>
      <c r="M57" s="409">
        <f t="shared" si="27"/>
        <v>0</v>
      </c>
      <c r="N57" s="415">
        <v>0.52</v>
      </c>
      <c r="O57" s="409">
        <f t="shared" si="28"/>
        <v>0</v>
      </c>
      <c r="Q57" s="1"/>
      <c r="R57" s="1"/>
      <c r="S57" s="1"/>
      <c r="T57" s="1"/>
      <c r="U57" s="1"/>
      <c r="V57" s="1"/>
      <c r="W57" s="1"/>
      <c r="X57" s="1"/>
      <c r="AA57" s="419"/>
      <c r="AB57" s="419"/>
      <c r="AC57" s="419"/>
      <c r="AD57" s="419"/>
      <c r="AE57" s="419"/>
      <c r="AF57" s="419"/>
      <c r="AK57" s="444"/>
      <c r="AL57" s="444"/>
    </row>
    <row r="58" spans="1:38" ht="18" customHeight="1" x14ac:dyDescent="0.2">
      <c r="A58" s="1"/>
      <c r="B58" s="1" t="s">
        <v>702</v>
      </c>
      <c r="C58" s="431"/>
      <c r="D58" s="409">
        <f t="shared" si="21"/>
        <v>0</v>
      </c>
      <c r="E58" s="435"/>
      <c r="F58" s="409">
        <f t="shared" si="22"/>
        <v>0</v>
      </c>
      <c r="G58" s="413">
        <f t="shared" si="23"/>
        <v>0</v>
      </c>
      <c r="H58" s="435"/>
      <c r="I58" s="421">
        <f t="shared" si="24"/>
        <v>0</v>
      </c>
      <c r="J58" s="442"/>
      <c r="K58" s="550">
        <f t="shared" si="25"/>
        <v>0</v>
      </c>
      <c r="L58" s="411">
        <f t="shared" si="26"/>
        <v>0</v>
      </c>
      <c r="M58" s="409">
        <f t="shared" si="27"/>
        <v>0</v>
      </c>
      <c r="N58" s="415">
        <v>0.52</v>
      </c>
      <c r="O58" s="409">
        <f t="shared" si="28"/>
        <v>0</v>
      </c>
      <c r="Q58" s="1"/>
      <c r="R58" s="1"/>
      <c r="S58" s="1"/>
      <c r="T58" s="1"/>
      <c r="U58" s="1"/>
      <c r="V58" s="1"/>
      <c r="W58" s="1"/>
      <c r="X58" s="1"/>
      <c r="AA58" s="419"/>
      <c r="AB58" s="419"/>
      <c r="AC58" s="419"/>
      <c r="AD58" s="419"/>
      <c r="AE58" s="419"/>
      <c r="AF58" s="419"/>
      <c r="AK58" s="444"/>
      <c r="AL58" s="444"/>
    </row>
    <row r="59" spans="1:38" ht="18" customHeight="1" x14ac:dyDescent="0.2">
      <c r="A59" s="1"/>
      <c r="B59" s="1" t="s">
        <v>703</v>
      </c>
      <c r="C59" s="431"/>
      <c r="D59" s="409">
        <f t="shared" si="21"/>
        <v>0</v>
      </c>
      <c r="E59" s="435"/>
      <c r="F59" s="409">
        <f t="shared" si="22"/>
        <v>0</v>
      </c>
      <c r="G59" s="413">
        <f t="shared" si="23"/>
        <v>0</v>
      </c>
      <c r="H59" s="435"/>
      <c r="I59" s="421">
        <f t="shared" si="24"/>
        <v>0</v>
      </c>
      <c r="J59" s="442"/>
      <c r="K59" s="550">
        <f t="shared" si="25"/>
        <v>0</v>
      </c>
      <c r="L59" s="411">
        <f t="shared" si="26"/>
        <v>0</v>
      </c>
      <c r="M59" s="409">
        <f t="shared" si="27"/>
        <v>0</v>
      </c>
      <c r="N59" s="415">
        <v>0.52</v>
      </c>
      <c r="O59" s="409">
        <f t="shared" si="28"/>
        <v>0</v>
      </c>
      <c r="Q59" s="1"/>
      <c r="R59" s="1"/>
      <c r="S59" s="1"/>
      <c r="T59" s="1"/>
      <c r="U59" s="1"/>
      <c r="V59" s="1"/>
      <c r="W59" s="1"/>
      <c r="X59" s="1"/>
      <c r="AA59" s="419"/>
      <c r="AB59" s="419"/>
      <c r="AC59" s="419"/>
      <c r="AD59" s="419"/>
      <c r="AE59" s="419"/>
      <c r="AF59" s="419"/>
      <c r="AK59" s="444"/>
      <c r="AL59" s="444"/>
    </row>
    <row r="60" spans="1:38" ht="18" customHeight="1" thickBot="1" x14ac:dyDescent="0.25">
      <c r="A60" s="1"/>
      <c r="B60" s="1"/>
      <c r="C60" s="1"/>
      <c r="D60" s="1"/>
      <c r="E60" s="439">
        <f>SUMPRODUCT(E54:E59,H54:H59)</f>
        <v>126458</v>
      </c>
      <c r="F60" s="1"/>
      <c r="G60" s="1"/>
      <c r="I60" s="1"/>
      <c r="J60" s="1"/>
      <c r="K60" s="1" t="s">
        <v>993</v>
      </c>
      <c r="L60" s="440">
        <f>SUM(L54:L59)</f>
        <v>210426.11199999999</v>
      </c>
      <c r="M60" s="439">
        <f>SUM(M54:M59)</f>
        <v>126458</v>
      </c>
      <c r="O60" s="439">
        <f>SUM(O54:O59)</f>
        <v>65758.16</v>
      </c>
      <c r="Q60" s="1"/>
      <c r="R60" s="1"/>
      <c r="S60" s="1"/>
      <c r="T60" s="1"/>
      <c r="U60" s="1"/>
      <c r="V60" s="1"/>
      <c r="W60" s="1"/>
      <c r="X60" s="1"/>
      <c r="AA60" s="419"/>
      <c r="AB60" s="419"/>
      <c r="AC60" s="419"/>
      <c r="AD60" s="419"/>
      <c r="AE60" s="419"/>
      <c r="AF60" s="419"/>
      <c r="AK60" s="444"/>
      <c r="AL60" s="444"/>
    </row>
    <row r="61" spans="1:38" ht="18" customHeight="1" thickTop="1" x14ac:dyDescent="0.2">
      <c r="A61" s="1"/>
      <c r="B61" s="1"/>
      <c r="C61" s="1"/>
      <c r="D61" s="1"/>
      <c r="E61" s="1"/>
      <c r="F61" s="1"/>
      <c r="G61" s="1"/>
      <c r="H61" s="1"/>
      <c r="I61" s="1"/>
      <c r="J61" s="1"/>
      <c r="K61" s="1"/>
      <c r="L61" s="12" t="s">
        <v>562</v>
      </c>
      <c r="M61" s="481">
        <f>F22</f>
        <v>111300</v>
      </c>
      <c r="N61" s="1"/>
      <c r="O61" s="481">
        <f>M61*O60/M60</f>
        <v>57876</v>
      </c>
      <c r="P61" s="1"/>
      <c r="Q61" s="1"/>
      <c r="R61" s="1"/>
      <c r="S61" s="1"/>
      <c r="T61" s="1"/>
      <c r="U61" s="1"/>
      <c r="V61" s="1"/>
      <c r="W61" s="1"/>
      <c r="X61" s="1"/>
      <c r="AA61" s="419"/>
      <c r="AB61" s="419"/>
      <c r="AC61" s="419"/>
      <c r="AD61" s="419"/>
      <c r="AE61" s="419"/>
      <c r="AF61" s="419"/>
      <c r="AK61" s="444"/>
      <c r="AL61" s="444"/>
    </row>
    <row r="62" spans="1:38" ht="18" customHeight="1" x14ac:dyDescent="0.25">
      <c r="A62" s="1"/>
      <c r="L62" s="547" t="s">
        <v>381</v>
      </c>
      <c r="M62" s="247">
        <f>M60-M61</f>
        <v>15158</v>
      </c>
      <c r="N62" t="s">
        <v>382</v>
      </c>
      <c r="O62" s="247">
        <f>O60-O61</f>
        <v>7882.1600000000035</v>
      </c>
      <c r="P62" s="1" t="s">
        <v>383</v>
      </c>
      <c r="Q62" s="1"/>
      <c r="R62" s="1"/>
      <c r="S62" s="1"/>
      <c r="T62" s="1"/>
      <c r="U62" s="1"/>
      <c r="V62" s="1"/>
      <c r="W62" s="1"/>
      <c r="X62" s="1"/>
      <c r="AA62" s="419"/>
      <c r="AB62" s="419"/>
      <c r="AC62" s="419"/>
      <c r="AD62" s="419"/>
      <c r="AE62" s="419"/>
      <c r="AF62" s="419"/>
      <c r="AK62" s="444"/>
      <c r="AL62" s="444"/>
    </row>
    <row r="63" spans="1:38" ht="18" customHeight="1" x14ac:dyDescent="0.25">
      <c r="A63" s="1"/>
      <c r="B63" s="446"/>
      <c r="L63" s="245"/>
      <c r="M63"/>
      <c r="N63"/>
      <c r="O63"/>
      <c r="P63" s="1"/>
      <c r="Q63" s="1"/>
      <c r="R63" s="1"/>
      <c r="S63" s="1"/>
      <c r="T63" s="1"/>
      <c r="U63" s="1"/>
      <c r="V63" s="1"/>
      <c r="W63" s="1"/>
      <c r="X63" s="1"/>
      <c r="AA63" s="419"/>
      <c r="AB63" s="419"/>
      <c r="AC63" s="419"/>
      <c r="AD63" s="419"/>
      <c r="AE63" s="419"/>
      <c r="AF63" s="419"/>
      <c r="AK63" s="444"/>
      <c r="AL63" s="444"/>
    </row>
    <row r="64" spans="1:38" ht="18" customHeight="1" x14ac:dyDescent="0.25">
      <c r="A64" s="1"/>
      <c r="B64" s="446"/>
      <c r="L64" s="245"/>
      <c r="M64"/>
      <c r="N64"/>
      <c r="O64"/>
      <c r="P64" s="1"/>
      <c r="Q64" s="1"/>
      <c r="R64" s="1"/>
      <c r="S64" s="1"/>
      <c r="T64" s="1"/>
      <c r="U64" s="1"/>
      <c r="V64" s="1"/>
      <c r="W64" s="1"/>
      <c r="X64" s="1"/>
      <c r="AA64" s="419"/>
      <c r="AB64" s="419"/>
      <c r="AC64" s="419"/>
      <c r="AD64" s="419"/>
      <c r="AE64" s="419"/>
      <c r="AF64" s="419"/>
      <c r="AK64" s="444"/>
      <c r="AL64" s="444"/>
    </row>
    <row r="65" spans="1:38" ht="18" customHeight="1" x14ac:dyDescent="0.25">
      <c r="A65" s="1"/>
      <c r="B65" s="446"/>
      <c r="L65" s="245"/>
      <c r="M65"/>
      <c r="N65"/>
      <c r="O65"/>
      <c r="P65" s="1"/>
      <c r="Q65" s="1"/>
      <c r="R65" s="1"/>
      <c r="S65" s="1"/>
      <c r="T65" s="1"/>
      <c r="U65" s="1"/>
      <c r="V65" s="1"/>
      <c r="W65" s="1"/>
      <c r="X65" s="1"/>
      <c r="AA65" s="419"/>
      <c r="AB65" s="419"/>
      <c r="AC65" s="419"/>
      <c r="AD65" s="419"/>
      <c r="AE65" s="419"/>
      <c r="AF65" s="419"/>
      <c r="AK65" s="444"/>
      <c r="AL65" s="444"/>
    </row>
    <row r="66" spans="1:38" ht="18" customHeight="1" x14ac:dyDescent="0.25">
      <c r="A66" s="1"/>
      <c r="B66" s="446" t="s">
        <v>561</v>
      </c>
      <c r="L66" s="245"/>
      <c r="M66"/>
      <c r="N66"/>
      <c r="O66"/>
      <c r="P66" s="1"/>
      <c r="Q66" s="1"/>
      <c r="R66" s="1"/>
      <c r="S66" s="1"/>
      <c r="T66" s="1"/>
      <c r="U66" s="1"/>
      <c r="V66" s="1"/>
      <c r="W66" s="1"/>
      <c r="X66" s="1"/>
      <c r="AA66" s="419"/>
      <c r="AB66" s="419"/>
      <c r="AC66" s="419"/>
      <c r="AD66" s="419"/>
      <c r="AE66" s="419"/>
      <c r="AF66" s="419"/>
      <c r="AK66" s="444"/>
      <c r="AL66" s="444"/>
    </row>
    <row r="67" spans="1:38" ht="18" customHeight="1" x14ac:dyDescent="0.2">
      <c r="A67" s="1"/>
      <c r="M67" s="1"/>
      <c r="N67" s="1"/>
      <c r="O67" s="1"/>
      <c r="P67" s="1"/>
      <c r="Q67" s="1"/>
      <c r="R67" s="1"/>
      <c r="S67" s="1"/>
      <c r="T67" s="1"/>
      <c r="U67" s="1"/>
      <c r="V67" s="1"/>
      <c r="W67" s="1"/>
      <c r="X67" s="1"/>
      <c r="AA67" s="419"/>
      <c r="AB67" s="419"/>
      <c r="AC67" s="419"/>
      <c r="AD67" s="419"/>
      <c r="AE67" s="419"/>
      <c r="AF67" s="419"/>
      <c r="AK67" s="444"/>
      <c r="AL67" s="444"/>
    </row>
    <row r="68" spans="1:38" ht="33" customHeight="1" x14ac:dyDescent="0.2">
      <c r="A68" s="1"/>
      <c r="C68" s="407" t="s">
        <v>709</v>
      </c>
      <c r="D68" s="407" t="s">
        <v>710</v>
      </c>
      <c r="E68" s="407" t="s">
        <v>711</v>
      </c>
      <c r="F68" s="407" t="s">
        <v>712</v>
      </c>
      <c r="G68" s="407" t="s">
        <v>713</v>
      </c>
      <c r="H68" s="407" t="s">
        <v>714</v>
      </c>
      <c r="I68" s="407" t="s">
        <v>715</v>
      </c>
      <c r="J68" s="407" t="s">
        <v>716</v>
      </c>
      <c r="K68" s="407" t="s">
        <v>717</v>
      </c>
      <c r="L68" s="407" t="s">
        <v>718</v>
      </c>
      <c r="M68" s="407" t="s">
        <v>719</v>
      </c>
      <c r="O68" s="1"/>
      <c r="P68" s="1"/>
      <c r="Q68" s="1"/>
      <c r="R68" s="1"/>
      <c r="S68" s="1"/>
      <c r="T68" s="1"/>
      <c r="U68" s="1"/>
      <c r="V68" s="1"/>
      <c r="W68" s="1"/>
      <c r="X68" s="1"/>
      <c r="AA68" s="419"/>
      <c r="AB68" s="419"/>
      <c r="AC68" s="419"/>
      <c r="AD68" s="419"/>
      <c r="AE68" s="419"/>
      <c r="AF68" s="419"/>
      <c r="AK68" s="444"/>
      <c r="AL68" s="444"/>
    </row>
    <row r="69" spans="1:38" ht="18" customHeight="1" x14ac:dyDescent="0.2">
      <c r="A69" s="1"/>
      <c r="B69" s="419" t="str">
        <f t="shared" ref="B69:B74" si="29">B54</f>
        <v>Mob 1</v>
      </c>
      <c r="C69" s="448"/>
      <c r="D69" s="411">
        <f t="shared" ref="D69:D74" si="30">C69*L54</f>
        <v>0</v>
      </c>
      <c r="E69" s="449">
        <v>5</v>
      </c>
      <c r="F69" s="449"/>
      <c r="G69" s="449"/>
      <c r="H69" s="411">
        <f t="shared" ref="H69:H74" si="31">(E69*H54)+(F69*H54)+G69</f>
        <v>1060</v>
      </c>
      <c r="I69" s="450">
        <v>421</v>
      </c>
      <c r="J69" s="451">
        <v>1.9</v>
      </c>
      <c r="K69" s="450">
        <v>20</v>
      </c>
      <c r="L69" s="411">
        <f t="shared" ref="L69:L74" si="32">IF(K69=0,0,IF(H54&lt;=0,0,H54*I69*J69/K69))</f>
        <v>8478.9399999999987</v>
      </c>
      <c r="M69" s="433">
        <f t="shared" ref="M69:M74" si="33">IF(L69&lt;=0,0,L69/H54)</f>
        <v>39.99499999999999</v>
      </c>
      <c r="O69" s="1"/>
      <c r="P69" s="1"/>
      <c r="Q69" s="1"/>
      <c r="R69" s="1"/>
      <c r="S69" s="1"/>
      <c r="T69" s="1"/>
      <c r="U69" s="1"/>
      <c r="V69" s="1"/>
      <c r="W69" s="1"/>
      <c r="X69" s="1"/>
      <c r="AA69" s="419"/>
      <c r="AB69" s="419"/>
      <c r="AC69" s="419"/>
      <c r="AD69" s="419"/>
      <c r="AE69" s="419"/>
      <c r="AF69" s="419"/>
      <c r="AK69" s="444"/>
      <c r="AL69" s="444"/>
    </row>
    <row r="70" spans="1:38" ht="18" customHeight="1" x14ac:dyDescent="0.2">
      <c r="A70" s="1"/>
      <c r="B70" s="419" t="str">
        <f t="shared" si="29"/>
        <v>Mob 2</v>
      </c>
      <c r="C70" s="448"/>
      <c r="D70" s="411">
        <f t="shared" si="30"/>
        <v>0</v>
      </c>
      <c r="E70" s="449"/>
      <c r="F70" s="449"/>
      <c r="G70" s="449"/>
      <c r="H70" s="411">
        <f t="shared" si="31"/>
        <v>0</v>
      </c>
      <c r="I70" s="450"/>
      <c r="J70" s="451"/>
      <c r="K70" s="450"/>
      <c r="L70" s="411">
        <f t="shared" si="32"/>
        <v>0</v>
      </c>
      <c r="M70" s="433">
        <f t="shared" si="33"/>
        <v>0</v>
      </c>
      <c r="O70" s="1"/>
      <c r="P70" s="1"/>
      <c r="Q70" s="1"/>
      <c r="R70" s="1"/>
      <c r="S70" s="1"/>
      <c r="T70" s="1"/>
      <c r="U70" s="1"/>
      <c r="V70" s="1"/>
      <c r="W70" s="1"/>
      <c r="X70" s="1"/>
      <c r="AA70" s="419"/>
      <c r="AB70" s="419"/>
      <c r="AC70" s="419"/>
      <c r="AD70" s="419"/>
      <c r="AE70" s="419"/>
      <c r="AF70" s="419"/>
      <c r="AK70" s="444"/>
      <c r="AL70" s="444"/>
    </row>
    <row r="71" spans="1:38" ht="18" customHeight="1" x14ac:dyDescent="0.2">
      <c r="A71" s="1"/>
      <c r="B71" s="419" t="str">
        <f t="shared" si="29"/>
        <v>Mob 3</v>
      </c>
      <c r="C71" s="448"/>
      <c r="D71" s="411">
        <f t="shared" si="30"/>
        <v>0</v>
      </c>
      <c r="E71" s="449"/>
      <c r="F71" s="449"/>
      <c r="G71" s="449"/>
      <c r="H71" s="411">
        <f t="shared" si="31"/>
        <v>0</v>
      </c>
      <c r="I71" s="450"/>
      <c r="J71" s="451"/>
      <c r="K71" s="450"/>
      <c r="L71" s="411">
        <f t="shared" si="32"/>
        <v>0</v>
      </c>
      <c r="M71" s="433">
        <f t="shared" si="33"/>
        <v>0</v>
      </c>
      <c r="O71" s="1"/>
      <c r="P71" s="1"/>
      <c r="Q71" s="1"/>
      <c r="R71" s="1"/>
      <c r="S71" s="1"/>
      <c r="T71" s="1"/>
      <c r="U71" s="1"/>
      <c r="V71" s="1"/>
      <c r="W71" s="1"/>
      <c r="X71" s="1"/>
      <c r="AI71" s="444"/>
      <c r="AJ71" s="444"/>
      <c r="AK71" s="444"/>
      <c r="AL71" s="444"/>
    </row>
    <row r="72" spans="1:38" ht="18" customHeight="1" x14ac:dyDescent="0.2">
      <c r="A72" s="1"/>
      <c r="B72" s="419" t="str">
        <f t="shared" si="29"/>
        <v>Mob 4</v>
      </c>
      <c r="C72" s="448"/>
      <c r="D72" s="411">
        <f t="shared" si="30"/>
        <v>0</v>
      </c>
      <c r="E72" s="449"/>
      <c r="F72" s="449"/>
      <c r="G72" s="449"/>
      <c r="H72" s="411">
        <f t="shared" si="31"/>
        <v>0</v>
      </c>
      <c r="I72" s="450"/>
      <c r="J72" s="451"/>
      <c r="K72" s="450"/>
      <c r="L72" s="411">
        <f t="shared" si="32"/>
        <v>0</v>
      </c>
      <c r="M72" s="433">
        <f t="shared" si="33"/>
        <v>0</v>
      </c>
      <c r="O72" s="1"/>
      <c r="P72" s="1"/>
      <c r="Q72" s="1"/>
      <c r="R72" s="1"/>
      <c r="S72" s="1"/>
      <c r="T72" s="1"/>
      <c r="U72" s="1"/>
      <c r="V72" s="1"/>
      <c r="W72" s="1"/>
      <c r="X72" s="1"/>
      <c r="AI72" s="444"/>
      <c r="AJ72" s="444"/>
      <c r="AK72" s="444"/>
      <c r="AL72" s="444"/>
    </row>
    <row r="73" spans="1:38" ht="18" customHeight="1" x14ac:dyDescent="0.2">
      <c r="A73" s="1"/>
      <c r="B73" s="419" t="str">
        <f t="shared" si="29"/>
        <v>Mob 5</v>
      </c>
      <c r="C73" s="448"/>
      <c r="D73" s="411">
        <f t="shared" si="30"/>
        <v>0</v>
      </c>
      <c r="E73" s="449"/>
      <c r="F73" s="449"/>
      <c r="G73" s="449"/>
      <c r="H73" s="411">
        <f t="shared" si="31"/>
        <v>0</v>
      </c>
      <c r="I73" s="450"/>
      <c r="J73" s="451"/>
      <c r="K73" s="450"/>
      <c r="L73" s="411">
        <f t="shared" si="32"/>
        <v>0</v>
      </c>
      <c r="M73" s="433">
        <f t="shared" si="33"/>
        <v>0</v>
      </c>
      <c r="O73" s="1"/>
      <c r="P73" s="1"/>
      <c r="Q73" s="1"/>
      <c r="R73" s="1"/>
      <c r="S73" s="1"/>
      <c r="T73" s="1"/>
      <c r="U73" s="1"/>
      <c r="V73" s="1"/>
      <c r="W73" s="1"/>
      <c r="X73" s="1"/>
      <c r="Y73"/>
      <c r="Z73"/>
      <c r="AA73"/>
      <c r="AB73"/>
      <c r="AC73"/>
      <c r="AD73"/>
      <c r="AE73"/>
      <c r="AF73"/>
      <c r="AI73" s="444"/>
      <c r="AJ73" s="444"/>
      <c r="AK73" s="444"/>
      <c r="AL73" s="444"/>
    </row>
    <row r="74" spans="1:38" ht="18" customHeight="1" x14ac:dyDescent="0.2">
      <c r="A74" s="1"/>
      <c r="B74" s="419" t="str">
        <f t="shared" si="29"/>
        <v>Mob 6</v>
      </c>
      <c r="C74" s="448"/>
      <c r="D74" s="411">
        <f t="shared" si="30"/>
        <v>0</v>
      </c>
      <c r="E74" s="449"/>
      <c r="F74" s="449"/>
      <c r="G74" s="449"/>
      <c r="H74" s="411">
        <f t="shared" si="31"/>
        <v>0</v>
      </c>
      <c r="I74" s="450"/>
      <c r="J74" s="451"/>
      <c r="K74" s="450"/>
      <c r="L74" s="411">
        <f t="shared" si="32"/>
        <v>0</v>
      </c>
      <c r="M74" s="433">
        <f t="shared" si="33"/>
        <v>0</v>
      </c>
      <c r="O74" s="1"/>
      <c r="P74" s="1"/>
      <c r="Q74" s="1"/>
      <c r="R74" s="1"/>
      <c r="S74" s="1"/>
      <c r="T74" s="1"/>
      <c r="U74" s="1"/>
      <c r="V74" s="1"/>
      <c r="W74" s="1"/>
      <c r="X74" s="1"/>
      <c r="Y74"/>
      <c r="Z74"/>
      <c r="AA74"/>
      <c r="AB74"/>
      <c r="AC74"/>
      <c r="AD74"/>
      <c r="AE74"/>
      <c r="AF74"/>
      <c r="AI74" s="444"/>
      <c r="AJ74" s="444"/>
      <c r="AK74" s="444"/>
      <c r="AL74" s="444"/>
    </row>
    <row r="75" spans="1:38" ht="18" customHeight="1" thickBot="1" x14ac:dyDescent="0.25">
      <c r="A75" s="1"/>
      <c r="C75" s="1"/>
      <c r="D75" s="440">
        <f>SUM(D69:D74)</f>
        <v>0</v>
      </c>
      <c r="E75" s="1"/>
      <c r="F75" s="1"/>
      <c r="G75" s="1"/>
      <c r="H75" s="440">
        <f>SUM(H69:H74)</f>
        <v>1060</v>
      </c>
      <c r="I75" s="1"/>
      <c r="J75" s="1"/>
      <c r="K75" s="1"/>
      <c r="L75" s="440">
        <f>SUM(L69:L74)</f>
        <v>8478.9399999999987</v>
      </c>
      <c r="M75" s="1"/>
      <c r="O75" s="1"/>
      <c r="P75" s="1"/>
      <c r="Q75" s="1"/>
      <c r="R75" s="1"/>
      <c r="S75" s="1"/>
      <c r="T75" s="1"/>
      <c r="U75" s="1"/>
      <c r="V75" s="1"/>
      <c r="W75" s="1"/>
      <c r="X75" s="1"/>
      <c r="Y75"/>
      <c r="Z75"/>
      <c r="AA75"/>
      <c r="AB75"/>
      <c r="AC75"/>
      <c r="AD75"/>
      <c r="AE75"/>
      <c r="AF75"/>
      <c r="AI75" s="444"/>
      <c r="AJ75" s="444"/>
      <c r="AK75" s="444"/>
      <c r="AL75" s="444"/>
    </row>
    <row r="76" spans="1:38" ht="18" customHeight="1" thickTop="1" x14ac:dyDescent="0.2">
      <c r="A76" s="1"/>
      <c r="B76" s="1"/>
      <c r="C76" s="1"/>
      <c r="D76" s="1"/>
      <c r="E76" s="1"/>
      <c r="F76" s="1"/>
      <c r="G76" s="1"/>
      <c r="H76" s="1"/>
      <c r="I76" s="1"/>
      <c r="J76" s="1"/>
      <c r="K76" s="1"/>
      <c r="L76" s="1"/>
      <c r="M76" s="1"/>
      <c r="N76" s="1"/>
      <c r="O76" s="1"/>
      <c r="P76" s="1"/>
      <c r="Q76" s="1"/>
      <c r="R76" s="1"/>
      <c r="S76" s="1"/>
      <c r="T76" s="1"/>
      <c r="U76" s="1"/>
      <c r="V76" s="1"/>
      <c r="W76" s="1"/>
      <c r="X76" s="1"/>
      <c r="Y76"/>
      <c r="Z76"/>
      <c r="AA76"/>
      <c r="AB76"/>
      <c r="AC76"/>
      <c r="AD76"/>
      <c r="AE76"/>
      <c r="AF76"/>
      <c r="AI76" s="444"/>
      <c r="AJ76" s="444"/>
      <c r="AK76" s="444"/>
      <c r="AL76" s="444"/>
    </row>
    <row r="77" spans="1:38" ht="18" customHeight="1" x14ac:dyDescent="0.2">
      <c r="A77" s="1"/>
      <c r="L77" s="1"/>
      <c r="M77" s="1"/>
      <c r="N77" s="1"/>
      <c r="O77" s="1"/>
      <c r="P77" s="1"/>
      <c r="Q77" s="1"/>
      <c r="R77" s="1"/>
      <c r="S77" s="1"/>
      <c r="T77" s="1"/>
      <c r="U77" s="1"/>
      <c r="V77" s="1"/>
      <c r="W77" s="1"/>
      <c r="X77" s="1"/>
      <c r="Y77"/>
      <c r="Z77"/>
      <c r="AA77"/>
      <c r="AB77"/>
      <c r="AC77"/>
      <c r="AD77"/>
      <c r="AE77"/>
      <c r="AF77"/>
      <c r="AI77" s="444"/>
      <c r="AJ77" s="444"/>
      <c r="AK77" s="444"/>
      <c r="AL77" s="444"/>
    </row>
    <row r="78" spans="1:38" ht="18" customHeight="1" x14ac:dyDescent="0.2">
      <c r="A78" s="1"/>
      <c r="B78" s="1"/>
      <c r="C78" s="1"/>
      <c r="D78" s="1"/>
      <c r="E78" s="1"/>
      <c r="F78" s="1"/>
      <c r="G78" s="1"/>
      <c r="H78" s="1"/>
      <c r="I78" s="1"/>
      <c r="J78" s="1"/>
      <c r="K78" s="1"/>
      <c r="L78" s="1"/>
      <c r="M78" s="1"/>
      <c r="N78" s="1"/>
      <c r="O78" s="1"/>
      <c r="P78" s="1"/>
      <c r="Q78" s="1"/>
      <c r="R78" s="1"/>
      <c r="S78" s="1"/>
      <c r="T78" s="1"/>
      <c r="U78" s="1"/>
      <c r="V78" s="1"/>
      <c r="W78" s="1"/>
      <c r="X78" s="1"/>
      <c r="AA78" s="419"/>
      <c r="AB78" s="419"/>
      <c r="AC78" s="419"/>
      <c r="AD78" s="419"/>
      <c r="AE78" s="419"/>
      <c r="AF78" s="419"/>
      <c r="AI78" s="444"/>
      <c r="AJ78" s="444"/>
      <c r="AK78" s="444"/>
      <c r="AL78" s="444"/>
    </row>
    <row r="79" spans="1:38" ht="18" customHeight="1" x14ac:dyDescent="0.25">
      <c r="A79" s="1"/>
      <c r="B79" s="5" t="s">
        <v>396</v>
      </c>
      <c r="C79" s="1"/>
      <c r="D79" s="1"/>
      <c r="E79" s="1"/>
      <c r="F79" s="1"/>
      <c r="G79" s="1"/>
      <c r="H79" s="1"/>
      <c r="I79" s="1"/>
      <c r="J79" s="1"/>
      <c r="K79" s="1"/>
      <c r="L79" s="1"/>
      <c r="M79" s="1"/>
      <c r="N79" s="1"/>
      <c r="O79" s="1"/>
      <c r="P79" s="1"/>
      <c r="Q79" s="1"/>
      <c r="R79" s="1"/>
      <c r="S79" s="1"/>
      <c r="T79" s="1"/>
      <c r="U79" s="1"/>
      <c r="V79" s="1"/>
      <c r="W79" s="1"/>
      <c r="X79" s="1"/>
      <c r="AA79" s="419"/>
      <c r="AB79" s="419"/>
      <c r="AC79" s="419"/>
      <c r="AD79" s="419"/>
      <c r="AE79" s="419"/>
      <c r="AF79" s="419"/>
      <c r="AI79" s="444"/>
      <c r="AJ79" s="444"/>
      <c r="AK79" s="444"/>
      <c r="AL79" s="444"/>
    </row>
    <row r="80" spans="1:38" x14ac:dyDescent="0.2">
      <c r="A80" s="1"/>
      <c r="B80" s="1"/>
      <c r="C80" s="1"/>
      <c r="D80" s="1"/>
      <c r="E80" s="1"/>
      <c r="F80" s="1"/>
      <c r="G80" s="1"/>
      <c r="H80" s="1"/>
      <c r="I80" s="1"/>
      <c r="J80" s="1"/>
      <c r="K80" s="1"/>
      <c r="L80" s="1"/>
      <c r="M80" s="1"/>
      <c r="N80" s="1"/>
      <c r="O80" s="1"/>
      <c r="P80" s="1"/>
      <c r="Q80" s="1"/>
      <c r="R80" s="1"/>
      <c r="S80" s="1"/>
      <c r="T80" s="1"/>
      <c r="U80" s="1"/>
      <c r="V80" s="1"/>
      <c r="W80" s="1"/>
      <c r="X80" s="1"/>
      <c r="AA80" s="419"/>
      <c r="AB80" s="419"/>
      <c r="AC80" s="419"/>
      <c r="AD80" s="419"/>
      <c r="AE80" s="419"/>
      <c r="AF80" s="419"/>
      <c r="AI80" s="444"/>
      <c r="AJ80" s="444"/>
      <c r="AK80" s="444"/>
      <c r="AL80" s="444"/>
    </row>
    <row r="81" spans="1:32" ht="33" customHeight="1" x14ac:dyDescent="0.2">
      <c r="A81" s="1"/>
      <c r="B81" s="1"/>
      <c r="C81" s="408" t="s">
        <v>892</v>
      </c>
      <c r="D81" s="408" t="s">
        <v>721</v>
      </c>
      <c r="E81" s="408" t="s">
        <v>722</v>
      </c>
      <c r="F81" s="408" t="s">
        <v>723</v>
      </c>
      <c r="G81" s="408" t="s">
        <v>724</v>
      </c>
      <c r="H81" s="408" t="s">
        <v>725</v>
      </c>
      <c r="I81" s="1"/>
      <c r="J81" s="1"/>
      <c r="K81" s="1"/>
      <c r="L81" s="1"/>
      <c r="M81" s="1"/>
      <c r="N81" s="1"/>
      <c r="O81" s="1"/>
      <c r="P81" s="1"/>
      <c r="Q81" s="1"/>
      <c r="R81" s="1"/>
      <c r="S81" s="1"/>
      <c r="T81" s="1"/>
      <c r="U81" s="1"/>
      <c r="V81" s="1"/>
      <c r="W81" s="1"/>
      <c r="X81" s="1"/>
      <c r="AA81" s="419"/>
      <c r="AB81" s="419"/>
      <c r="AC81" s="419"/>
      <c r="AD81" s="419"/>
      <c r="AE81" s="419"/>
      <c r="AF81" s="419"/>
    </row>
    <row r="82" spans="1:32" x14ac:dyDescent="0.2">
      <c r="A82" s="1"/>
      <c r="B82" s="1" t="s">
        <v>698</v>
      </c>
      <c r="C82" s="409">
        <f t="shared" ref="C82:C87" si="34">C41</f>
        <v>212</v>
      </c>
      <c r="D82" s="409">
        <f t="shared" ref="D82:D87" si="35">D54</f>
        <v>130</v>
      </c>
      <c r="E82" s="411">
        <f t="shared" ref="E82:E87" si="36">G16</f>
        <v>840</v>
      </c>
      <c r="F82" s="411">
        <f t="shared" ref="F82:F87" si="37">E82*C82</f>
        <v>178080</v>
      </c>
      <c r="G82" s="452">
        <v>0.05</v>
      </c>
      <c r="H82" s="411">
        <f t="shared" ref="H82:H87" si="38">F82*G82*D82/365</f>
        <v>3171.2876712328766</v>
      </c>
      <c r="I82" s="1"/>
      <c r="J82" s="1"/>
      <c r="K82" s="1"/>
      <c r="L82" s="1"/>
      <c r="M82" s="1"/>
      <c r="N82" s="1"/>
      <c r="O82" s="1"/>
      <c r="P82" s="1"/>
      <c r="Q82" s="1"/>
      <c r="R82" s="1"/>
      <c r="S82" s="1"/>
      <c r="T82" s="1"/>
      <c r="U82" s="1"/>
      <c r="V82" s="1"/>
      <c r="W82" s="1"/>
      <c r="X82" s="1"/>
      <c r="AA82" s="419"/>
      <c r="AB82" s="419"/>
      <c r="AC82" s="419"/>
      <c r="AD82" s="419"/>
      <c r="AE82" s="419"/>
      <c r="AF82" s="419"/>
    </row>
    <row r="83" spans="1:32" x14ac:dyDescent="0.2">
      <c r="A83" s="1"/>
      <c r="B83" s="1" t="s">
        <v>699</v>
      </c>
      <c r="C83" s="409">
        <f t="shared" si="34"/>
        <v>0</v>
      </c>
      <c r="D83" s="409">
        <f t="shared" si="35"/>
        <v>0</v>
      </c>
      <c r="E83" s="411">
        <f t="shared" si="36"/>
        <v>0</v>
      </c>
      <c r="F83" s="411">
        <f t="shared" si="37"/>
        <v>0</v>
      </c>
      <c r="G83" s="452">
        <v>0.05</v>
      </c>
      <c r="H83" s="411">
        <f t="shared" si="38"/>
        <v>0</v>
      </c>
      <c r="I83" s="1"/>
      <c r="J83" s="1"/>
      <c r="K83" s="1"/>
      <c r="L83" s="1"/>
      <c r="M83" s="1"/>
      <c r="N83" s="1"/>
      <c r="O83" s="1"/>
      <c r="P83" s="1"/>
      <c r="Q83" s="1"/>
      <c r="R83" s="1"/>
      <c r="S83" s="1"/>
      <c r="T83" s="1"/>
      <c r="U83" s="1"/>
      <c r="V83" s="1"/>
      <c r="W83" s="1"/>
      <c r="X83" s="1"/>
      <c r="AA83" s="419"/>
      <c r="AB83" s="419"/>
      <c r="AC83" s="419"/>
      <c r="AD83" s="419"/>
      <c r="AE83" s="419"/>
      <c r="AF83" s="419"/>
    </row>
    <row r="84" spans="1:32" x14ac:dyDescent="0.2">
      <c r="A84" s="1"/>
      <c r="B84" s="1" t="s">
        <v>700</v>
      </c>
      <c r="C84" s="409">
        <f t="shared" si="34"/>
        <v>0</v>
      </c>
      <c r="D84" s="409">
        <f t="shared" si="35"/>
        <v>0</v>
      </c>
      <c r="E84" s="411">
        <f t="shared" si="36"/>
        <v>0</v>
      </c>
      <c r="F84" s="411">
        <f t="shared" si="37"/>
        <v>0</v>
      </c>
      <c r="G84" s="452">
        <v>0.05</v>
      </c>
      <c r="H84" s="411">
        <f t="shared" si="38"/>
        <v>0</v>
      </c>
      <c r="I84" s="1"/>
      <c r="J84" s="1"/>
      <c r="K84" s="1"/>
      <c r="L84" s="1"/>
      <c r="M84" s="1"/>
      <c r="N84" s="1"/>
      <c r="O84" s="1"/>
      <c r="P84" s="1"/>
      <c r="Q84" s="1"/>
      <c r="R84" s="1"/>
      <c r="S84" s="1"/>
      <c r="T84" s="1"/>
      <c r="U84" s="1"/>
      <c r="V84" s="1"/>
      <c r="W84" s="1"/>
      <c r="X84" s="1"/>
      <c r="AA84" s="419"/>
      <c r="AB84" s="419"/>
      <c r="AC84" s="419"/>
      <c r="AD84" s="419"/>
      <c r="AE84" s="419"/>
      <c r="AF84" s="419"/>
    </row>
    <row r="85" spans="1:32" x14ac:dyDescent="0.2">
      <c r="A85" s="1"/>
      <c r="B85" s="1" t="s">
        <v>701</v>
      </c>
      <c r="C85" s="409">
        <f t="shared" si="34"/>
        <v>0</v>
      </c>
      <c r="D85" s="409">
        <f t="shared" si="35"/>
        <v>0</v>
      </c>
      <c r="E85" s="411">
        <f t="shared" si="36"/>
        <v>0</v>
      </c>
      <c r="F85" s="411">
        <f t="shared" si="37"/>
        <v>0</v>
      </c>
      <c r="G85" s="452">
        <v>0.05</v>
      </c>
      <c r="H85" s="411">
        <f t="shared" si="38"/>
        <v>0</v>
      </c>
      <c r="I85" s="1"/>
      <c r="J85" s="1"/>
      <c r="K85" s="1"/>
      <c r="L85" s="1"/>
      <c r="M85" s="1"/>
      <c r="N85" s="1"/>
      <c r="O85" s="1"/>
      <c r="P85" s="1"/>
      <c r="Q85" s="1"/>
      <c r="R85" s="1"/>
      <c r="S85" s="1"/>
      <c r="T85" s="1"/>
      <c r="U85" s="1"/>
      <c r="V85" s="1"/>
      <c r="W85" s="1"/>
      <c r="X85" s="1"/>
      <c r="AA85" s="419"/>
      <c r="AB85" s="419"/>
      <c r="AC85" s="419"/>
      <c r="AD85" s="419"/>
      <c r="AE85" s="419"/>
      <c r="AF85" s="419"/>
    </row>
    <row r="86" spans="1:32" x14ac:dyDescent="0.2">
      <c r="A86" s="1"/>
      <c r="B86" s="1" t="s">
        <v>702</v>
      </c>
      <c r="C86" s="409">
        <f t="shared" si="34"/>
        <v>0</v>
      </c>
      <c r="D86" s="409">
        <f t="shared" si="35"/>
        <v>0</v>
      </c>
      <c r="E86" s="411">
        <f t="shared" si="36"/>
        <v>0</v>
      </c>
      <c r="F86" s="411">
        <f t="shared" si="37"/>
        <v>0</v>
      </c>
      <c r="G86" s="452">
        <v>0.05</v>
      </c>
      <c r="H86" s="411">
        <f t="shared" si="38"/>
        <v>0</v>
      </c>
      <c r="I86" s="1"/>
      <c r="J86" s="1"/>
      <c r="K86" s="1"/>
      <c r="L86" s="1"/>
      <c r="M86" s="1"/>
      <c r="N86" s="1"/>
      <c r="O86" s="1"/>
      <c r="P86" s="1"/>
      <c r="Q86" s="1"/>
      <c r="R86" s="1"/>
      <c r="S86" s="1"/>
      <c r="T86" s="1"/>
      <c r="U86" s="1"/>
      <c r="V86" s="1"/>
      <c r="W86" s="1"/>
      <c r="X86" s="1"/>
      <c r="AA86" s="419"/>
      <c r="AB86" s="419"/>
      <c r="AC86" s="419"/>
      <c r="AD86" s="419"/>
      <c r="AE86" s="419"/>
      <c r="AF86" s="419"/>
    </row>
    <row r="87" spans="1:32" x14ac:dyDescent="0.2">
      <c r="A87" s="1"/>
      <c r="B87" s="1" t="s">
        <v>703</v>
      </c>
      <c r="C87" s="409">
        <f t="shared" si="34"/>
        <v>0</v>
      </c>
      <c r="D87" s="409">
        <f t="shared" si="35"/>
        <v>0</v>
      </c>
      <c r="E87" s="411">
        <f t="shared" si="36"/>
        <v>0</v>
      </c>
      <c r="F87" s="411">
        <f t="shared" si="37"/>
        <v>0</v>
      </c>
      <c r="G87" s="452">
        <v>0.05</v>
      </c>
      <c r="H87" s="411">
        <f t="shared" si="38"/>
        <v>0</v>
      </c>
      <c r="I87" s="1"/>
      <c r="J87" s="1"/>
      <c r="K87" s="1"/>
      <c r="L87" s="1"/>
      <c r="M87" s="1"/>
      <c r="N87" s="1"/>
      <c r="O87" s="1"/>
      <c r="P87" s="1"/>
      <c r="Q87" s="1"/>
      <c r="R87" s="1"/>
      <c r="S87" s="1"/>
      <c r="T87" s="1"/>
      <c r="U87" s="1"/>
      <c r="V87" s="1"/>
      <c r="W87" s="1"/>
      <c r="X87" s="1"/>
      <c r="AA87" s="419"/>
      <c r="AB87" s="419"/>
      <c r="AC87" s="419"/>
      <c r="AD87" s="419"/>
      <c r="AE87" s="419"/>
      <c r="AF87" s="419"/>
    </row>
    <row r="88" spans="1:32" ht="15.75" thickBot="1" x14ac:dyDescent="0.25">
      <c r="A88" s="1"/>
      <c r="B88" s="1"/>
      <c r="C88" s="1"/>
      <c r="D88" s="1"/>
      <c r="E88" s="1"/>
      <c r="F88" s="1" t="s">
        <v>726</v>
      </c>
      <c r="G88" s="1"/>
      <c r="H88" s="440">
        <f>SUM(H82:H87)</f>
        <v>3171.2876712328766</v>
      </c>
      <c r="I88" s="1"/>
      <c r="J88" s="1"/>
      <c r="K88" s="1"/>
      <c r="L88" s="1"/>
      <c r="M88" s="1"/>
      <c r="N88" s="1"/>
      <c r="O88" s="1"/>
      <c r="P88" s="1"/>
      <c r="Q88" s="1"/>
      <c r="R88" s="1"/>
      <c r="S88" s="1"/>
      <c r="T88" s="1"/>
      <c r="U88" s="1"/>
      <c r="V88" s="1"/>
      <c r="W88" s="1"/>
      <c r="X88" s="1"/>
      <c r="Y88" s="1"/>
      <c r="Z88" s="1"/>
      <c r="AA88" s="6"/>
    </row>
    <row r="89" spans="1:32" ht="15.75" thickTop="1" x14ac:dyDescent="0.2">
      <c r="A89" s="1"/>
      <c r="B89" s="1"/>
      <c r="C89" s="1"/>
      <c r="D89" s="1"/>
      <c r="E89" s="1"/>
      <c r="F89" s="1"/>
      <c r="G89" s="1"/>
      <c r="H89" s="1"/>
      <c r="I89" s="1"/>
      <c r="J89" s="1"/>
      <c r="K89" s="1"/>
      <c r="L89" s="1"/>
      <c r="M89" s="1"/>
      <c r="N89" s="1"/>
      <c r="O89" s="1"/>
      <c r="P89" s="1"/>
      <c r="Q89" s="1"/>
      <c r="R89" s="1"/>
      <c r="S89" s="1"/>
      <c r="T89" s="1"/>
      <c r="U89" s="1"/>
      <c r="V89" s="1"/>
      <c r="W89" s="1"/>
      <c r="X89" s="1"/>
      <c r="Y89" s="1"/>
      <c r="Z89" s="1"/>
      <c r="AA89" s="6"/>
    </row>
    <row r="90" spans="1:32" x14ac:dyDescent="0.2">
      <c r="A90" s="1"/>
      <c r="B90" s="1"/>
      <c r="C90" s="1"/>
      <c r="D90" s="1"/>
      <c r="E90" s="1"/>
      <c r="F90" s="1"/>
      <c r="G90" s="1"/>
      <c r="H90" s="1"/>
      <c r="I90" s="1"/>
      <c r="J90" s="1"/>
      <c r="K90" s="1"/>
      <c r="L90" s="1"/>
      <c r="M90" s="1"/>
      <c r="N90" s="1"/>
      <c r="O90" s="1"/>
      <c r="P90" s="1"/>
      <c r="Q90" s="1"/>
      <c r="R90" s="1"/>
      <c r="S90" s="1"/>
      <c r="T90" s="1"/>
      <c r="U90" s="1"/>
      <c r="V90" s="1"/>
      <c r="W90" s="1"/>
      <c r="X90" s="1"/>
      <c r="Y90" s="1"/>
      <c r="Z90" s="1"/>
      <c r="AA90" s="6"/>
    </row>
    <row r="91" spans="1:32" ht="15.75" x14ac:dyDescent="0.25">
      <c r="A91" s="1"/>
      <c r="B91" s="5" t="s">
        <v>727</v>
      </c>
      <c r="C91" s="1"/>
      <c r="D91" s="1"/>
      <c r="E91" s="1"/>
      <c r="F91" s="1"/>
      <c r="G91" s="1"/>
      <c r="H91" s="1"/>
      <c r="I91" s="1"/>
      <c r="J91" s="1"/>
      <c r="K91" s="1"/>
      <c r="L91" s="1"/>
      <c r="M91" s="1"/>
      <c r="N91" s="1"/>
      <c r="O91" s="1"/>
      <c r="P91" s="1"/>
      <c r="Q91" s="1"/>
      <c r="R91" s="1"/>
      <c r="S91" s="1"/>
      <c r="T91" s="1"/>
      <c r="U91" s="1"/>
      <c r="V91" s="1"/>
      <c r="W91" s="1"/>
      <c r="X91" s="1"/>
      <c r="Y91" s="1"/>
      <c r="Z91" s="1"/>
      <c r="AA91" s="6"/>
    </row>
    <row r="92" spans="1:32" x14ac:dyDescent="0.2">
      <c r="A92" s="1"/>
      <c r="B92" s="1"/>
      <c r="C92" s="1"/>
      <c r="D92" s="1"/>
      <c r="E92" s="1"/>
      <c r="F92" s="1"/>
      <c r="G92" s="1"/>
      <c r="H92" s="1"/>
      <c r="I92" s="1"/>
      <c r="J92" s="1"/>
      <c r="K92" s="1"/>
      <c r="L92" s="1"/>
      <c r="M92" s="1"/>
      <c r="N92" s="1"/>
      <c r="O92" s="1"/>
      <c r="P92" s="1"/>
      <c r="Q92" s="1"/>
      <c r="R92" s="1"/>
      <c r="S92" s="1"/>
      <c r="T92" s="1"/>
      <c r="U92" s="1"/>
      <c r="V92" s="1"/>
      <c r="W92" s="1"/>
      <c r="X92" s="1"/>
      <c r="Y92" s="1"/>
      <c r="Z92" s="1"/>
      <c r="AA92" s="6"/>
    </row>
    <row r="93" spans="1:32" ht="30" x14ac:dyDescent="0.2">
      <c r="A93" s="1"/>
      <c r="B93" s="1"/>
      <c r="C93" s="408" t="s">
        <v>892</v>
      </c>
      <c r="D93" s="408" t="s">
        <v>721</v>
      </c>
      <c r="E93" s="408" t="s">
        <v>728</v>
      </c>
      <c r="F93" s="408" t="s">
        <v>895</v>
      </c>
      <c r="G93" s="408" t="s">
        <v>673</v>
      </c>
      <c r="H93" s="408" t="s">
        <v>731</v>
      </c>
      <c r="I93" s="407" t="s">
        <v>659</v>
      </c>
      <c r="J93" s="407" t="s">
        <v>729</v>
      </c>
      <c r="K93" s="1"/>
      <c r="L93" s="1"/>
      <c r="M93" s="1"/>
      <c r="N93" s="1"/>
      <c r="O93" s="1"/>
      <c r="P93" s="1"/>
      <c r="Q93" s="1"/>
      <c r="R93" s="1"/>
      <c r="S93" s="1"/>
      <c r="T93" s="1"/>
      <c r="U93" s="1"/>
      <c r="V93" s="1"/>
      <c r="W93" s="1"/>
      <c r="X93" s="1"/>
      <c r="Y93" s="1"/>
      <c r="Z93" s="1"/>
      <c r="AA93" s="6"/>
    </row>
    <row r="94" spans="1:32" x14ac:dyDescent="0.2">
      <c r="A94" s="1"/>
      <c r="B94" s="1" t="s">
        <v>698</v>
      </c>
      <c r="C94" s="409">
        <f t="shared" ref="C94:C99" si="39">C41</f>
        <v>212</v>
      </c>
      <c r="D94" s="409">
        <f t="shared" ref="D94:D99" si="40">D54</f>
        <v>130</v>
      </c>
      <c r="E94" s="409">
        <f t="shared" ref="E94:E99" si="41">F16</f>
        <v>525</v>
      </c>
      <c r="F94" s="409">
        <f t="shared" ref="F94:F99" si="42">E54</f>
        <v>596.5</v>
      </c>
      <c r="G94" s="413">
        <f t="shared" ref="G94:G99" si="43">(POWER(((F94+E94)/2),0.75)/97.7)</f>
        <v>1.1794577759955944</v>
      </c>
      <c r="H94" s="413">
        <f t="shared" ref="H94:H99" si="44">D94/365*G94*C94</f>
        <v>89.057140565585144</v>
      </c>
      <c r="I94" s="413">
        <f>IF(D8&lt;=0,0,H94/$D$8)</f>
        <v>0.89057140565585147</v>
      </c>
      <c r="J94" s="413">
        <f t="shared" ref="J94:J100" si="45">IF(H94&lt;=0,0,$D$8/H94)</f>
        <v>1.1228745877637527</v>
      </c>
      <c r="K94" s="1"/>
      <c r="L94" s="1"/>
      <c r="M94" s="1"/>
      <c r="N94" s="1"/>
      <c r="O94" s="1"/>
      <c r="P94" s="1"/>
      <c r="Q94" s="1"/>
      <c r="R94" s="1"/>
      <c r="S94" s="1"/>
      <c r="T94" s="1"/>
      <c r="U94" s="1"/>
      <c r="V94" s="1"/>
      <c r="W94" s="1"/>
      <c r="X94" s="1"/>
      <c r="Y94" s="1"/>
      <c r="Z94" s="1"/>
      <c r="AA94" s="6"/>
    </row>
    <row r="95" spans="1:32" x14ac:dyDescent="0.2">
      <c r="A95" s="1"/>
      <c r="B95" s="1" t="s">
        <v>699</v>
      </c>
      <c r="C95" s="409">
        <f t="shared" si="39"/>
        <v>0</v>
      </c>
      <c r="D95" s="409">
        <f t="shared" si="40"/>
        <v>0</v>
      </c>
      <c r="E95" s="409">
        <f t="shared" si="41"/>
        <v>0</v>
      </c>
      <c r="F95" s="409">
        <f t="shared" si="42"/>
        <v>0</v>
      </c>
      <c r="G95" s="413">
        <f t="shared" si="43"/>
        <v>0</v>
      </c>
      <c r="H95" s="413">
        <f t="shared" si="44"/>
        <v>0</v>
      </c>
      <c r="I95" s="413">
        <f>IF(D8&lt;=0,0,H95/$D$8)</f>
        <v>0</v>
      </c>
      <c r="J95" s="413">
        <f t="shared" si="45"/>
        <v>0</v>
      </c>
      <c r="K95" s="1"/>
      <c r="L95" s="1"/>
      <c r="M95" s="1"/>
      <c r="N95" s="1"/>
      <c r="O95" s="1"/>
      <c r="P95" s="1"/>
      <c r="Q95" s="1"/>
      <c r="R95" s="1"/>
      <c r="S95" s="1"/>
      <c r="T95" s="1"/>
      <c r="U95" s="1"/>
      <c r="V95" s="1"/>
      <c r="W95" s="1"/>
      <c r="X95" s="1"/>
      <c r="Y95" s="1"/>
      <c r="Z95" s="1"/>
      <c r="AA95" s="6"/>
    </row>
    <row r="96" spans="1:32" x14ac:dyDescent="0.2">
      <c r="A96" s="1"/>
      <c r="B96" s="1" t="s">
        <v>700</v>
      </c>
      <c r="C96" s="409">
        <f t="shared" si="39"/>
        <v>0</v>
      </c>
      <c r="D96" s="409">
        <f t="shared" si="40"/>
        <v>0</v>
      </c>
      <c r="E96" s="409">
        <f t="shared" si="41"/>
        <v>0</v>
      </c>
      <c r="F96" s="409">
        <f t="shared" si="42"/>
        <v>0</v>
      </c>
      <c r="G96" s="413">
        <f t="shared" si="43"/>
        <v>0</v>
      </c>
      <c r="H96" s="413">
        <f t="shared" si="44"/>
        <v>0</v>
      </c>
      <c r="I96" s="413">
        <f>IF(D8&lt;=0,0,H96/$D$8)</f>
        <v>0</v>
      </c>
      <c r="J96" s="413">
        <f t="shared" si="45"/>
        <v>0</v>
      </c>
      <c r="K96" s="1"/>
      <c r="L96" s="1"/>
      <c r="M96" s="1"/>
      <c r="N96" s="1"/>
      <c r="O96" s="1"/>
      <c r="P96" s="1"/>
      <c r="Q96" s="1"/>
      <c r="R96" s="1"/>
      <c r="S96" s="1"/>
      <c r="T96" s="1"/>
      <c r="U96" s="1"/>
      <c r="V96" s="1"/>
      <c r="W96" s="1"/>
      <c r="X96" s="1"/>
      <c r="Y96" s="1"/>
      <c r="Z96" s="1"/>
      <c r="AA96" s="6"/>
    </row>
    <row r="97" spans="1:44" x14ac:dyDescent="0.2">
      <c r="A97" s="1"/>
      <c r="B97" s="1" t="s">
        <v>701</v>
      </c>
      <c r="C97" s="409">
        <f t="shared" si="39"/>
        <v>0</v>
      </c>
      <c r="D97" s="409">
        <f t="shared" si="40"/>
        <v>0</v>
      </c>
      <c r="E97" s="409">
        <f t="shared" si="41"/>
        <v>0</v>
      </c>
      <c r="F97" s="409">
        <f t="shared" si="42"/>
        <v>0</v>
      </c>
      <c r="G97" s="413">
        <f t="shared" si="43"/>
        <v>0</v>
      </c>
      <c r="H97" s="413">
        <f t="shared" si="44"/>
        <v>0</v>
      </c>
      <c r="I97" s="413">
        <f>IF(D8&lt;=0,0,H97/$D$8)</f>
        <v>0</v>
      </c>
      <c r="J97" s="413">
        <f t="shared" si="45"/>
        <v>0</v>
      </c>
      <c r="K97" s="1"/>
      <c r="L97" s="1"/>
      <c r="M97" s="1"/>
      <c r="N97" s="1"/>
      <c r="O97" s="1"/>
      <c r="P97" s="1"/>
      <c r="Q97" s="1"/>
      <c r="R97" s="1"/>
      <c r="S97" s="1"/>
      <c r="T97" s="1"/>
      <c r="U97" s="1"/>
      <c r="V97" s="1"/>
      <c r="W97" s="1"/>
      <c r="X97" s="1"/>
      <c r="Y97" s="1"/>
      <c r="Z97" s="1"/>
      <c r="AA97" s="6"/>
    </row>
    <row r="98" spans="1:44" x14ac:dyDescent="0.2">
      <c r="A98" s="1"/>
      <c r="B98" s="1" t="s">
        <v>702</v>
      </c>
      <c r="C98" s="409">
        <f t="shared" si="39"/>
        <v>0</v>
      </c>
      <c r="D98" s="409">
        <f t="shared" si="40"/>
        <v>0</v>
      </c>
      <c r="E98" s="409">
        <f t="shared" si="41"/>
        <v>0</v>
      </c>
      <c r="F98" s="409">
        <f t="shared" si="42"/>
        <v>0</v>
      </c>
      <c r="G98" s="413">
        <f t="shared" si="43"/>
        <v>0</v>
      </c>
      <c r="H98" s="413">
        <f t="shared" si="44"/>
        <v>0</v>
      </c>
      <c r="I98" s="413">
        <f>IF(D8&lt;=0,0,H98/$D$8)</f>
        <v>0</v>
      </c>
      <c r="J98" s="413">
        <f t="shared" si="45"/>
        <v>0</v>
      </c>
      <c r="K98" s="1"/>
      <c r="L98" s="1"/>
      <c r="M98" s="1"/>
      <c r="N98" s="1"/>
      <c r="O98" s="1"/>
      <c r="P98" s="1"/>
      <c r="Q98" s="1"/>
      <c r="R98" s="1"/>
      <c r="S98" s="1"/>
      <c r="T98" s="1"/>
      <c r="U98" s="1"/>
      <c r="V98" s="1"/>
      <c r="W98" s="1"/>
      <c r="X98" s="1"/>
      <c r="Y98" s="1"/>
      <c r="Z98" s="1"/>
      <c r="AA98" s="6"/>
    </row>
    <row r="99" spans="1:44" x14ac:dyDescent="0.2">
      <c r="A99" s="1"/>
      <c r="B99" s="1" t="s">
        <v>703</v>
      </c>
      <c r="C99" s="409">
        <f t="shared" si="39"/>
        <v>0</v>
      </c>
      <c r="D99" s="409">
        <f t="shared" si="40"/>
        <v>0</v>
      </c>
      <c r="E99" s="409">
        <f t="shared" si="41"/>
        <v>0</v>
      </c>
      <c r="F99" s="409">
        <f t="shared" si="42"/>
        <v>0</v>
      </c>
      <c r="G99" s="413">
        <f t="shared" si="43"/>
        <v>0</v>
      </c>
      <c r="H99" s="413">
        <f t="shared" si="44"/>
        <v>0</v>
      </c>
      <c r="I99" s="413">
        <f>IF(D8&lt;=0,0,H99/$D$8)</f>
        <v>0</v>
      </c>
      <c r="J99" s="413">
        <f t="shared" si="45"/>
        <v>0</v>
      </c>
      <c r="K99" s="1"/>
      <c r="L99" s="1"/>
      <c r="M99" s="1"/>
      <c r="N99" s="1"/>
      <c r="O99" s="1"/>
      <c r="P99" s="1"/>
      <c r="Q99" s="1"/>
      <c r="R99" s="1"/>
      <c r="S99" s="1"/>
      <c r="T99" s="1"/>
      <c r="U99" s="1"/>
      <c r="V99" s="1"/>
      <c r="W99" s="1"/>
      <c r="X99" s="1"/>
      <c r="Y99" s="1"/>
      <c r="Z99" s="1"/>
      <c r="AA99" s="6"/>
    </row>
    <row r="100" spans="1:44" x14ac:dyDescent="0.2">
      <c r="A100" s="1"/>
      <c r="B100" s="1"/>
      <c r="C100" s="1"/>
      <c r="D100" s="1"/>
      <c r="E100" s="1"/>
      <c r="F100" s="1"/>
      <c r="G100" s="1" t="s">
        <v>730</v>
      </c>
      <c r="H100" s="453">
        <f>SUM(H94:H99)</f>
        <v>89.057140565585144</v>
      </c>
      <c r="I100" s="418">
        <f>IF(D8&lt;=0,0,H100/$D$8)</f>
        <v>0.89057140565585147</v>
      </c>
      <c r="J100" s="418">
        <f t="shared" si="45"/>
        <v>1.1228745877637527</v>
      </c>
      <c r="K100" s="1"/>
      <c r="L100" s="1"/>
      <c r="M100" s="1"/>
      <c r="N100" s="1"/>
      <c r="O100" s="1"/>
      <c r="P100" s="1"/>
      <c r="Q100" s="1"/>
      <c r="R100" s="1"/>
      <c r="S100" s="1"/>
      <c r="T100" s="1"/>
      <c r="U100" s="1"/>
      <c r="V100" s="1"/>
      <c r="W100" s="1"/>
      <c r="X100" s="1"/>
      <c r="Y100" s="1"/>
      <c r="Z100" s="1"/>
      <c r="AA100" s="6"/>
    </row>
    <row r="101" spans="1:44"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6"/>
    </row>
    <row r="102" spans="1:44" x14ac:dyDescent="0.2">
      <c r="A102" s="1"/>
      <c r="B102" s="1"/>
      <c r="C102" s="1"/>
      <c r="D102" s="1"/>
      <c r="E102" s="1"/>
      <c r="F102" s="1"/>
      <c r="G102" s="1"/>
      <c r="H102" s="1"/>
      <c r="I102" s="1"/>
      <c r="J102" s="1"/>
      <c r="K102" s="1"/>
      <c r="L102" s="1"/>
      <c r="M102" s="1"/>
      <c r="N102" s="1"/>
      <c r="O102" s="1"/>
      <c r="P102" s="1"/>
      <c r="Q102" s="1"/>
      <c r="R102" s="1" t="s">
        <v>788</v>
      </c>
      <c r="S102" s="1"/>
      <c r="T102" s="1"/>
      <c r="U102" s="1"/>
      <c r="W102" s="1"/>
      <c r="X102" s="1"/>
      <c r="Y102" s="1" t="s">
        <v>789</v>
      </c>
      <c r="Z102" s="1"/>
      <c r="AA102" s="6"/>
    </row>
    <row r="103" spans="1:44"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6"/>
    </row>
    <row r="104" spans="1:44"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6"/>
    </row>
    <row r="105" spans="1:44" ht="15.75" x14ac:dyDescent="0.25">
      <c r="A105" s="1"/>
      <c r="B105" s="446" t="s">
        <v>397</v>
      </c>
      <c r="C105" s="1"/>
      <c r="D105" s="1"/>
      <c r="E105" s="1"/>
      <c r="F105" s="1"/>
      <c r="G105" s="1"/>
      <c r="H105" s="1"/>
      <c r="I105" s="1"/>
      <c r="J105" s="1"/>
      <c r="K105" s="1"/>
      <c r="L105" s="1"/>
      <c r="M105" s="1"/>
      <c r="N105" s="1"/>
      <c r="O105" s="1"/>
      <c r="P105" s="1"/>
      <c r="Q105" s="1"/>
      <c r="R105" s="1"/>
      <c r="S105" s="1"/>
      <c r="T105" s="1"/>
      <c r="U105" s="1"/>
      <c r="V105" s="1"/>
      <c r="W105" s="1"/>
      <c r="X105" s="1"/>
      <c r="Y105" s="1"/>
      <c r="Z105" s="1"/>
      <c r="AA105" s="6"/>
    </row>
    <row r="106" spans="1:44" x14ac:dyDescent="0.2">
      <c r="A106" s="1"/>
      <c r="B106" s="1"/>
      <c r="C106" s="1"/>
      <c r="D106" s="1"/>
      <c r="E106" s="1"/>
      <c r="F106" s="1"/>
      <c r="G106" s="1"/>
      <c r="H106" s="1"/>
      <c r="I106" s="1"/>
      <c r="J106" s="1"/>
      <c r="K106" s="1"/>
      <c r="L106" s="1"/>
      <c r="M106" s="1"/>
      <c r="N106" s="1"/>
      <c r="O106" s="1"/>
      <c r="P106" s="1"/>
      <c r="Q106" s="1"/>
    </row>
    <row r="107" spans="1:44" ht="15.75" x14ac:dyDescent="0.25">
      <c r="C107" s="446" t="s">
        <v>620</v>
      </c>
      <c r="D107" s="1" t="s">
        <v>398</v>
      </c>
      <c r="E107" s="1"/>
      <c r="F107" s="1"/>
      <c r="G107" s="1"/>
      <c r="H107" s="1"/>
      <c r="I107" s="1"/>
      <c r="J107" s="1"/>
      <c r="L107" s="446" t="s">
        <v>582</v>
      </c>
      <c r="N107" s="446" t="s">
        <v>620</v>
      </c>
      <c r="O107" s="1"/>
      <c r="P107" s="1"/>
      <c r="Q107" s="1"/>
      <c r="R107" s="1"/>
      <c r="S107" s="1"/>
      <c r="T107" s="1"/>
      <c r="U107" s="1"/>
      <c r="Y107" s="446" t="s">
        <v>795</v>
      </c>
      <c r="Z107" s="446" t="s">
        <v>393</v>
      </c>
      <c r="AA107" s="6"/>
      <c r="AB107" s="6"/>
      <c r="AC107" s="6"/>
      <c r="AD107" s="6"/>
      <c r="AE107" s="6"/>
      <c r="AF107" s="6"/>
      <c r="AG107" s="1"/>
      <c r="AI107" s="446" t="s">
        <v>582</v>
      </c>
      <c r="AJ107" s="446" t="s">
        <v>393</v>
      </c>
      <c r="AL107" s="1"/>
      <c r="AM107" s="1"/>
      <c r="AN107" s="1"/>
      <c r="AO107" s="1"/>
      <c r="AP107" s="1"/>
      <c r="AQ107" s="1"/>
      <c r="AR107" s="1"/>
    </row>
    <row r="108" spans="1:44" x14ac:dyDescent="0.2">
      <c r="B108" s="65"/>
      <c r="C108" s="1"/>
      <c r="D108" s="14"/>
      <c r="E108" s="14"/>
      <c r="F108" s="14"/>
      <c r="G108" s="14"/>
      <c r="H108" s="14"/>
      <c r="I108" s="14"/>
      <c r="J108" s="14"/>
      <c r="L108" s="65"/>
      <c r="M108" s="1"/>
      <c r="N108" s="14"/>
      <c r="O108" s="14"/>
      <c r="P108" s="14"/>
      <c r="Q108" s="14"/>
      <c r="R108" s="14"/>
      <c r="S108" s="14"/>
      <c r="T108" s="14"/>
      <c r="U108" s="14"/>
      <c r="Y108" s="65"/>
      <c r="Z108" s="1"/>
      <c r="AA108" s="6"/>
      <c r="AB108" s="6"/>
      <c r="AC108" s="6"/>
      <c r="AD108" s="6"/>
      <c r="AE108" s="6"/>
      <c r="AF108" s="6"/>
      <c r="AG108" s="14"/>
      <c r="AI108" s="65"/>
      <c r="AJ108" s="1"/>
      <c r="AK108" s="14"/>
      <c r="AL108" s="14"/>
      <c r="AM108" s="14"/>
      <c r="AN108" s="14"/>
      <c r="AO108" s="14"/>
      <c r="AP108" s="14"/>
      <c r="AQ108" s="14"/>
      <c r="AR108" s="14"/>
    </row>
    <row r="109" spans="1:44" ht="15.75" x14ac:dyDescent="0.25">
      <c r="B109" s="482" t="s">
        <v>994</v>
      </c>
      <c r="C109" s="483" t="s">
        <v>583</v>
      </c>
      <c r="D109" s="484" t="s">
        <v>616</v>
      </c>
      <c r="E109" s="482" t="s">
        <v>619</v>
      </c>
      <c r="F109" s="485" t="s">
        <v>617</v>
      </c>
      <c r="G109" s="485" t="s">
        <v>245</v>
      </c>
      <c r="H109" s="486" t="s">
        <v>489</v>
      </c>
      <c r="I109" s="486" t="s">
        <v>490</v>
      </c>
      <c r="L109" s="482" t="s">
        <v>994</v>
      </c>
      <c r="M109" s="483" t="s">
        <v>583</v>
      </c>
      <c r="N109" s="484" t="s">
        <v>616</v>
      </c>
      <c r="O109" s="482" t="s">
        <v>619</v>
      </c>
      <c r="P109" s="485" t="s">
        <v>617</v>
      </c>
      <c r="Q109" s="482"/>
      <c r="R109" s="485" t="s">
        <v>245</v>
      </c>
      <c r="S109" s="487" t="s">
        <v>489</v>
      </c>
      <c r="T109" s="487" t="s">
        <v>490</v>
      </c>
      <c r="U109" s="1"/>
      <c r="Y109" s="488" t="s">
        <v>994</v>
      </c>
      <c r="Z109" s="94" t="s">
        <v>583</v>
      </c>
      <c r="AA109" s="488" t="s">
        <v>616</v>
      </c>
      <c r="AB109" s="488" t="s">
        <v>619</v>
      </c>
      <c r="AC109" s="488" t="s">
        <v>617</v>
      </c>
      <c r="AD109" s="488" t="s">
        <v>618</v>
      </c>
      <c r="AE109" s="489" t="s">
        <v>489</v>
      </c>
      <c r="AF109" s="489" t="s">
        <v>490</v>
      </c>
      <c r="AI109" s="488" t="s">
        <v>994</v>
      </c>
      <c r="AJ109" s="94" t="s">
        <v>583</v>
      </c>
      <c r="AK109" s="490" t="s">
        <v>616</v>
      </c>
      <c r="AL109" s="488" t="s">
        <v>619</v>
      </c>
      <c r="AM109" s="74" t="s">
        <v>617</v>
      </c>
      <c r="AN109" s="488"/>
      <c r="AO109" s="74" t="s">
        <v>618</v>
      </c>
      <c r="AP109" s="72" t="s">
        <v>489</v>
      </c>
      <c r="AQ109" s="72" t="s">
        <v>490</v>
      </c>
      <c r="AR109" s="1"/>
    </row>
    <row r="110" spans="1:44" ht="15.75" x14ac:dyDescent="0.25">
      <c r="B110" s="305">
        <v>347</v>
      </c>
      <c r="C110" s="491" t="str">
        <f>IF(B110&lt;=0,"",VLOOKUP(B110,Treatments!$C$7:$J$407,2))</f>
        <v>Chisel plough</v>
      </c>
      <c r="D110" s="306">
        <v>1</v>
      </c>
      <c r="E110" s="433">
        <f>VLOOKUP(B110,Treatments!$C$7:$J$407,8)</f>
        <v>30.257142857142856</v>
      </c>
      <c r="F110" s="305">
        <v>1</v>
      </c>
      <c r="G110" s="308">
        <v>1</v>
      </c>
      <c r="H110" s="433">
        <f>D110*E110*F110*G110</f>
        <v>30.257142857142856</v>
      </c>
      <c r="I110" s="411">
        <f>H110*$D$9</f>
        <v>3025.7142857142858</v>
      </c>
      <c r="L110" s="305"/>
      <c r="M110" s="491" t="str">
        <f>VLOOKUP(L110,Treatments!$C$7:$J$407,2)</f>
        <v>No treatment</v>
      </c>
      <c r="N110" s="306"/>
      <c r="O110" s="433">
        <f>VLOOKUP(L110,Treatments!$C$7:$J$407,8)</f>
        <v>0</v>
      </c>
      <c r="P110" s="305"/>
      <c r="Q110" s="494"/>
      <c r="R110" s="493"/>
      <c r="S110" s="433">
        <f t="shared" ref="S110:S115" si="46">N110*O110*P110*R110</f>
        <v>0</v>
      </c>
      <c r="T110" s="411">
        <f t="shared" ref="T110:T115" si="47">S110*$D$9</f>
        <v>0</v>
      </c>
      <c r="U110" s="1"/>
      <c r="Y110" s="447">
        <f>IF(AND(B110&gt;=344,B110&lt;=358),B110+15,B110)</f>
        <v>362</v>
      </c>
      <c r="Z110" s="491" t="str">
        <f>VLOOKUP(Y110,Treatments!$C$7:$J$407,2)</f>
        <v>Chisel plough</v>
      </c>
      <c r="AA110" s="495">
        <f>D110</f>
        <v>1</v>
      </c>
      <c r="AB110" s="433">
        <f>VLOOKUP(Y110,Treatments!$C$7:$J$407,8)</f>
        <v>56.462857142857146</v>
      </c>
      <c r="AC110" s="495">
        <f>F110</f>
        <v>1</v>
      </c>
      <c r="AD110" s="496">
        <f>G110</f>
        <v>1</v>
      </c>
      <c r="AE110" s="433">
        <f>AA110*AB110*AC110*AD110</f>
        <v>56.462857142857146</v>
      </c>
      <c r="AF110" s="411">
        <f t="shared" ref="AF110:AF124" si="48">AE110*$D$9</f>
        <v>5646.2857142857147</v>
      </c>
      <c r="AI110" s="447">
        <f t="shared" ref="AI110:AI115" si="49">IF(AND(L110&gt;=344,L110&lt;=358),L110+15,L110)</f>
        <v>0</v>
      </c>
      <c r="AJ110" s="491" t="str">
        <f>VLOOKUP(AI110,Treatments!$C$7:$J$407,2)</f>
        <v>No treatment</v>
      </c>
      <c r="AK110" s="495">
        <f t="shared" ref="AK110:AK115" si="50">N110</f>
        <v>0</v>
      </c>
      <c r="AL110" s="433">
        <f>VLOOKUP(AI110,Treatments!$C$7:$J$407,8)</f>
        <v>0</v>
      </c>
      <c r="AM110" s="495">
        <f t="shared" ref="AM110:AM115" si="51">P110</f>
        <v>0</v>
      </c>
      <c r="AN110" s="494"/>
      <c r="AO110" s="496">
        <f t="shared" ref="AO110:AO115" si="52">R110</f>
        <v>0</v>
      </c>
      <c r="AP110" s="433">
        <f t="shared" ref="AP110:AP115" si="53">AK110*AL110*AM110*AO110</f>
        <v>0</v>
      </c>
      <c r="AQ110" s="411">
        <f t="shared" ref="AQ110:AQ115" si="54">AP110*$D$9</f>
        <v>0</v>
      </c>
      <c r="AR110" s="1"/>
    </row>
    <row r="111" spans="1:44" ht="15.75" x14ac:dyDescent="0.25">
      <c r="B111" s="305">
        <v>346</v>
      </c>
      <c r="C111" s="491" t="str">
        <f>IF(B111&lt;=0,"",VLOOKUP(B111,Treatments!$C$7:$J$407,2))</f>
        <v>Tyne cultivator</v>
      </c>
      <c r="D111" s="306">
        <v>1</v>
      </c>
      <c r="E111" s="433">
        <f>VLOOKUP(B111,Treatments!$C$7:$J$407,8)</f>
        <v>16.225000000000001</v>
      </c>
      <c r="F111" s="305">
        <v>1</v>
      </c>
      <c r="G111" s="308">
        <v>1</v>
      </c>
      <c r="H111" s="433">
        <f>D111*E111*F111*G111</f>
        <v>16.225000000000001</v>
      </c>
      <c r="I111" s="411">
        <f t="shared" ref="I111:I124" si="55">H111*$D$9</f>
        <v>1622.5000000000002</v>
      </c>
      <c r="L111" s="305"/>
      <c r="M111" s="491" t="str">
        <f>VLOOKUP(L111,Treatments!$C$7:$J$407,2)</f>
        <v>No treatment</v>
      </c>
      <c r="N111" s="306"/>
      <c r="O111" s="433">
        <f>VLOOKUP(L111,Treatments!$C$7:$J$407,8)</f>
        <v>0</v>
      </c>
      <c r="P111" s="305"/>
      <c r="Q111" s="497"/>
      <c r="R111" s="493"/>
      <c r="S111" s="433">
        <f t="shared" si="46"/>
        <v>0</v>
      </c>
      <c r="T111" s="411">
        <f t="shared" si="47"/>
        <v>0</v>
      </c>
      <c r="U111" s="1"/>
      <c r="Y111" s="447">
        <f t="shared" ref="Y111:Y124" si="56">IF(AND(B111&gt;=344,B111&lt;=358),B111+15,B111)</f>
        <v>361</v>
      </c>
      <c r="Z111" s="491" t="str">
        <f>VLOOKUP(Y111,Treatments!$C$7:$J$407,2)</f>
        <v>Tyne cultivator</v>
      </c>
      <c r="AA111" s="495">
        <f t="shared" ref="AA111:AA124" si="57">D111</f>
        <v>1</v>
      </c>
      <c r="AB111" s="433">
        <f>VLOOKUP(Y111,Treatments!$C$7:$J$407,8)</f>
        <v>35.095000000000006</v>
      </c>
      <c r="AC111" s="495">
        <f t="shared" ref="AC111:AD124" si="58">F111</f>
        <v>1</v>
      </c>
      <c r="AD111" s="496">
        <f t="shared" si="58"/>
        <v>1</v>
      </c>
      <c r="AE111" s="433">
        <f>AA111*AB111*AC111*AD111</f>
        <v>35.095000000000006</v>
      </c>
      <c r="AF111" s="411">
        <f t="shared" si="48"/>
        <v>3509.5000000000005</v>
      </c>
      <c r="AI111" s="447">
        <f t="shared" si="49"/>
        <v>0</v>
      </c>
      <c r="AJ111" s="491" t="str">
        <f>VLOOKUP(AI111,Treatments!$C$7:$J$407,2)</f>
        <v>No treatment</v>
      </c>
      <c r="AK111" s="495">
        <f t="shared" si="50"/>
        <v>0</v>
      </c>
      <c r="AL111" s="433">
        <f>VLOOKUP(AI111,Treatments!$C$7:$J$407,8)</f>
        <v>0</v>
      </c>
      <c r="AM111" s="495">
        <f t="shared" si="51"/>
        <v>0</v>
      </c>
      <c r="AN111" s="497"/>
      <c r="AO111" s="496">
        <f t="shared" si="52"/>
        <v>0</v>
      </c>
      <c r="AP111" s="433">
        <f t="shared" si="53"/>
        <v>0</v>
      </c>
      <c r="AQ111" s="411">
        <f t="shared" si="54"/>
        <v>0</v>
      </c>
      <c r="AR111" s="1"/>
    </row>
    <row r="112" spans="1:44" ht="15.75" x14ac:dyDescent="0.25">
      <c r="B112" s="305">
        <v>344</v>
      </c>
      <c r="C112" s="491" t="str">
        <f>IF(B112&lt;=0,"",VLOOKUP(B112,Treatments!$C$7:$J$407,2))</f>
        <v>Linkage spray rig</v>
      </c>
      <c r="D112" s="306">
        <v>1</v>
      </c>
      <c r="E112" s="433">
        <f>VLOOKUP(B112,Treatments!$C$7:$J$407,8)</f>
        <v>3.3779411764705882</v>
      </c>
      <c r="F112" s="305">
        <v>2</v>
      </c>
      <c r="G112" s="308">
        <v>1</v>
      </c>
      <c r="H112" s="433">
        <f t="shared" ref="H112:H122" si="59">D112*E112*F112*G112</f>
        <v>6.7558823529411764</v>
      </c>
      <c r="I112" s="411">
        <f t="shared" si="55"/>
        <v>675.58823529411768</v>
      </c>
      <c r="L112" s="305"/>
      <c r="M112" s="491" t="str">
        <f>VLOOKUP(L112,Treatments!$C$7:$J$407,2)</f>
        <v>No treatment</v>
      </c>
      <c r="N112" s="306"/>
      <c r="O112" s="433">
        <f>VLOOKUP(L112,Treatments!$C$7:$J$407,8)</f>
        <v>0</v>
      </c>
      <c r="P112" s="305"/>
      <c r="Q112" s="160"/>
      <c r="R112" s="493"/>
      <c r="S112" s="433">
        <f t="shared" si="46"/>
        <v>0</v>
      </c>
      <c r="T112" s="411">
        <f t="shared" si="47"/>
        <v>0</v>
      </c>
      <c r="U112" s="1"/>
      <c r="Y112" s="447">
        <f t="shared" si="56"/>
        <v>359</v>
      </c>
      <c r="Z112" s="491" t="str">
        <f>VLOOKUP(Y112,Treatments!$C$7:$J$407,2)</f>
        <v>Linkage spray rig</v>
      </c>
      <c r="AA112" s="495">
        <f t="shared" si="57"/>
        <v>1</v>
      </c>
      <c r="AB112" s="433">
        <f>VLOOKUP(Y112,Treatments!$C$7:$J$407,8)</f>
        <v>8.01</v>
      </c>
      <c r="AC112" s="495">
        <f t="shared" si="58"/>
        <v>2</v>
      </c>
      <c r="AD112" s="496">
        <f t="shared" si="58"/>
        <v>1</v>
      </c>
      <c r="AE112" s="433">
        <f t="shared" ref="AE112:AE122" si="60">AA112*AB112*AC112*AD112</f>
        <v>16.02</v>
      </c>
      <c r="AF112" s="411">
        <f t="shared" si="48"/>
        <v>1602</v>
      </c>
      <c r="AI112" s="447">
        <f t="shared" si="49"/>
        <v>0</v>
      </c>
      <c r="AJ112" s="491" t="str">
        <f>VLOOKUP(AI112,Treatments!$C$7:$J$407,2)</f>
        <v>No treatment</v>
      </c>
      <c r="AK112" s="495">
        <f t="shared" si="50"/>
        <v>0</v>
      </c>
      <c r="AL112" s="433">
        <f>VLOOKUP(AI112,Treatments!$C$7:$J$407,8)</f>
        <v>0</v>
      </c>
      <c r="AM112" s="495">
        <f t="shared" si="51"/>
        <v>0</v>
      </c>
      <c r="AN112" s="160"/>
      <c r="AO112" s="496">
        <f t="shared" si="52"/>
        <v>0</v>
      </c>
      <c r="AP112" s="433">
        <f t="shared" si="53"/>
        <v>0</v>
      </c>
      <c r="AQ112" s="411">
        <f t="shared" si="54"/>
        <v>0</v>
      </c>
      <c r="AR112" s="1"/>
    </row>
    <row r="113" spans="2:44" ht="15.75" x14ac:dyDescent="0.25">
      <c r="B113" s="305"/>
      <c r="C113" s="491" t="str">
        <f>IF(B113&lt;=0,"",VLOOKUP(B113,Treatments!$C$7:$J$407,2))</f>
        <v/>
      </c>
      <c r="D113" s="306"/>
      <c r="E113" s="433">
        <f>VLOOKUP(B113,Treatments!$C$7:$J$407,8)</f>
        <v>0</v>
      </c>
      <c r="F113" s="305"/>
      <c r="G113" s="308"/>
      <c r="H113" s="433">
        <f t="shared" si="59"/>
        <v>0</v>
      </c>
      <c r="I113" s="411">
        <f t="shared" si="55"/>
        <v>0</v>
      </c>
      <c r="L113" s="305"/>
      <c r="M113" s="491" t="str">
        <f>VLOOKUP(L113,Treatments!$C$7:$J$407,2)</f>
        <v>No treatment</v>
      </c>
      <c r="N113" s="306"/>
      <c r="O113" s="433">
        <f>VLOOKUP(L113,Treatments!$C$7:$J$407,8)</f>
        <v>0</v>
      </c>
      <c r="P113" s="305"/>
      <c r="Q113" s="498"/>
      <c r="R113" s="493"/>
      <c r="S113" s="433">
        <f t="shared" si="46"/>
        <v>0</v>
      </c>
      <c r="T113" s="411">
        <f t="shared" si="47"/>
        <v>0</v>
      </c>
      <c r="U113" s="1"/>
      <c r="Y113" s="447">
        <f t="shared" si="56"/>
        <v>0</v>
      </c>
      <c r="Z113" s="491" t="str">
        <f>VLOOKUP(Y113,Treatments!$C$7:$J$407,2)</f>
        <v>No treatment</v>
      </c>
      <c r="AA113" s="495">
        <f t="shared" si="57"/>
        <v>0</v>
      </c>
      <c r="AB113" s="433">
        <f>VLOOKUP(Y113,Treatments!$C$7:$J$407,8)</f>
        <v>0</v>
      </c>
      <c r="AC113" s="495">
        <f t="shared" si="58"/>
        <v>0</v>
      </c>
      <c r="AD113" s="496">
        <f t="shared" si="58"/>
        <v>0</v>
      </c>
      <c r="AE113" s="433">
        <f t="shared" si="60"/>
        <v>0</v>
      </c>
      <c r="AF113" s="411">
        <f t="shared" si="48"/>
        <v>0</v>
      </c>
      <c r="AI113" s="447">
        <f t="shared" si="49"/>
        <v>0</v>
      </c>
      <c r="AJ113" s="491" t="str">
        <f>VLOOKUP(AI113,Treatments!$C$7:$J$407,2)</f>
        <v>No treatment</v>
      </c>
      <c r="AK113" s="495">
        <f t="shared" si="50"/>
        <v>0</v>
      </c>
      <c r="AL113" s="433">
        <f>VLOOKUP(AI113,Treatments!$C$7:$J$407,8)</f>
        <v>0</v>
      </c>
      <c r="AM113" s="495">
        <f t="shared" si="51"/>
        <v>0</v>
      </c>
      <c r="AN113" s="498"/>
      <c r="AO113" s="496">
        <f t="shared" si="52"/>
        <v>0</v>
      </c>
      <c r="AP113" s="433">
        <f t="shared" si="53"/>
        <v>0</v>
      </c>
      <c r="AQ113" s="411">
        <f t="shared" si="54"/>
        <v>0</v>
      </c>
      <c r="AR113" s="1"/>
    </row>
    <row r="114" spans="2:44" ht="15.75" x14ac:dyDescent="0.25">
      <c r="B114" s="305">
        <v>127</v>
      </c>
      <c r="C114" s="491" t="str">
        <f>IF(B114&lt;=0,"",VLOOKUP(B114,Treatments!$C$7:$J$407,2))</f>
        <v>Amicide 625</v>
      </c>
      <c r="D114" s="306">
        <v>0.75</v>
      </c>
      <c r="E114" s="433">
        <f>VLOOKUP(B114,Treatments!$C$7:$J$407,8)</f>
        <v>6.82</v>
      </c>
      <c r="F114" s="305">
        <v>2</v>
      </c>
      <c r="G114" s="308">
        <v>1</v>
      </c>
      <c r="H114" s="433">
        <f t="shared" si="59"/>
        <v>10.23</v>
      </c>
      <c r="I114" s="411">
        <f t="shared" si="55"/>
        <v>1023</v>
      </c>
      <c r="L114" s="435"/>
      <c r="M114" s="491" t="str">
        <f>VLOOKUP(L114,Treatments!$C$7:$J$407,2)</f>
        <v>No treatment</v>
      </c>
      <c r="N114" s="492"/>
      <c r="O114" s="433">
        <f>VLOOKUP(L114,Treatments!$C$7:$J$407,8)</f>
        <v>0</v>
      </c>
      <c r="P114" s="435"/>
      <c r="Q114" s="498"/>
      <c r="R114" s="493"/>
      <c r="S114" s="433">
        <f t="shared" si="46"/>
        <v>0</v>
      </c>
      <c r="T114" s="411">
        <f t="shared" si="47"/>
        <v>0</v>
      </c>
      <c r="U114" s="1"/>
      <c r="Y114" s="447">
        <f t="shared" si="56"/>
        <v>127</v>
      </c>
      <c r="Z114" s="491" t="str">
        <f>VLOOKUP(Y114,Treatments!$C$7:$J$407,2)</f>
        <v>Amicide 625</v>
      </c>
      <c r="AA114" s="495">
        <f t="shared" si="57"/>
        <v>0.75</v>
      </c>
      <c r="AB114" s="433">
        <f>VLOOKUP(Y114,Treatments!$C$7:$J$407,8)</f>
        <v>6.82</v>
      </c>
      <c r="AC114" s="495">
        <f t="shared" si="58"/>
        <v>2</v>
      </c>
      <c r="AD114" s="496">
        <f t="shared" si="58"/>
        <v>1</v>
      </c>
      <c r="AE114" s="433">
        <f t="shared" si="60"/>
        <v>10.23</v>
      </c>
      <c r="AF114" s="411">
        <f t="shared" si="48"/>
        <v>1023</v>
      </c>
      <c r="AI114" s="447">
        <f t="shared" si="49"/>
        <v>0</v>
      </c>
      <c r="AJ114" s="491" t="str">
        <f>VLOOKUP(AI114,Treatments!$C$7:$J$407,2)</f>
        <v>No treatment</v>
      </c>
      <c r="AK114" s="495">
        <f t="shared" si="50"/>
        <v>0</v>
      </c>
      <c r="AL114" s="433">
        <f>VLOOKUP(AI114,Treatments!$C$7:$J$407,8)</f>
        <v>0</v>
      </c>
      <c r="AM114" s="495">
        <f t="shared" si="51"/>
        <v>0</v>
      </c>
      <c r="AN114" s="498"/>
      <c r="AO114" s="496">
        <f t="shared" si="52"/>
        <v>0</v>
      </c>
      <c r="AP114" s="433">
        <f t="shared" si="53"/>
        <v>0</v>
      </c>
      <c r="AQ114" s="411">
        <f t="shared" si="54"/>
        <v>0</v>
      </c>
      <c r="AR114" s="1"/>
    </row>
    <row r="115" spans="2:44" ht="15.75" x14ac:dyDescent="0.25">
      <c r="B115" s="305">
        <v>150</v>
      </c>
      <c r="C115" s="491" t="str">
        <f>IF(B115&lt;=0,"",VLOOKUP(B115,Treatments!$C$7:$J$407,2))</f>
        <v>Glyphosate 450 CT</v>
      </c>
      <c r="D115" s="306">
        <v>1.5</v>
      </c>
      <c r="E115" s="433">
        <f>VLOOKUP(B115,Treatments!$C$7:$J$407,8)</f>
        <v>4.6360000000000001</v>
      </c>
      <c r="F115" s="305">
        <v>2</v>
      </c>
      <c r="G115" s="308">
        <v>1</v>
      </c>
      <c r="H115" s="433">
        <f t="shared" si="59"/>
        <v>13.908000000000001</v>
      </c>
      <c r="I115" s="411">
        <f t="shared" si="55"/>
        <v>1390.8000000000002</v>
      </c>
      <c r="L115" s="435"/>
      <c r="M115" s="491" t="str">
        <f>VLOOKUP(L115,Treatments!$C$7:$J$407,2)</f>
        <v>No treatment</v>
      </c>
      <c r="N115" s="492"/>
      <c r="O115" s="433">
        <f>VLOOKUP(L115,Treatments!$C$7:$J$407,8)</f>
        <v>0</v>
      </c>
      <c r="P115" s="435"/>
      <c r="Q115" s="498"/>
      <c r="R115" s="493"/>
      <c r="S115" s="433">
        <f t="shared" si="46"/>
        <v>0</v>
      </c>
      <c r="T115" s="411">
        <f t="shared" si="47"/>
        <v>0</v>
      </c>
      <c r="U115" s="1"/>
      <c r="Y115" s="447">
        <f t="shared" si="56"/>
        <v>150</v>
      </c>
      <c r="Z115" s="491" t="str">
        <f>VLOOKUP(Y115,Treatments!$C$7:$J$407,2)</f>
        <v>Glyphosate 450 CT</v>
      </c>
      <c r="AA115" s="495">
        <f t="shared" si="57"/>
        <v>1.5</v>
      </c>
      <c r="AB115" s="433">
        <f>VLOOKUP(Y115,Treatments!$C$7:$J$407,8)</f>
        <v>4.6360000000000001</v>
      </c>
      <c r="AC115" s="495">
        <f t="shared" si="58"/>
        <v>2</v>
      </c>
      <c r="AD115" s="496">
        <f t="shared" si="58"/>
        <v>1</v>
      </c>
      <c r="AE115" s="433">
        <f t="shared" si="60"/>
        <v>13.908000000000001</v>
      </c>
      <c r="AF115" s="411">
        <f t="shared" si="48"/>
        <v>1390.8000000000002</v>
      </c>
      <c r="AI115" s="447">
        <f t="shared" si="49"/>
        <v>0</v>
      </c>
      <c r="AJ115" s="491" t="str">
        <f>VLOOKUP(AI115,Treatments!$C$7:$J$407,2)</f>
        <v>No treatment</v>
      </c>
      <c r="AK115" s="495">
        <f t="shared" si="50"/>
        <v>0</v>
      </c>
      <c r="AL115" s="433">
        <f>VLOOKUP(AI115,Treatments!$C$7:$J$407,8)</f>
        <v>0</v>
      </c>
      <c r="AM115" s="495">
        <f t="shared" si="51"/>
        <v>0</v>
      </c>
      <c r="AN115" s="498"/>
      <c r="AO115" s="496">
        <f t="shared" si="52"/>
        <v>0</v>
      </c>
      <c r="AP115" s="433">
        <f t="shared" si="53"/>
        <v>0</v>
      </c>
      <c r="AQ115" s="411">
        <f t="shared" si="54"/>
        <v>0</v>
      </c>
      <c r="AR115" s="1"/>
    </row>
    <row r="116" spans="2:44" ht="15.75" x14ac:dyDescent="0.25">
      <c r="B116" s="305"/>
      <c r="C116" s="491" t="str">
        <f>IF(B116&lt;=0,"",VLOOKUP(B116,Treatments!$C$7:$J$407,2))</f>
        <v/>
      </c>
      <c r="D116" s="306"/>
      <c r="E116" s="433">
        <f>VLOOKUP(B116,Treatments!$C$7:$J$407,8)</f>
        <v>0</v>
      </c>
      <c r="F116" s="305"/>
      <c r="G116" s="308"/>
      <c r="H116" s="433">
        <f t="shared" si="59"/>
        <v>0</v>
      </c>
      <c r="I116" s="411">
        <f t="shared" si="55"/>
        <v>0</v>
      </c>
      <c r="U116" s="1"/>
      <c r="Y116" s="447">
        <f t="shared" si="56"/>
        <v>0</v>
      </c>
      <c r="Z116" s="491" t="str">
        <f>VLOOKUP(Y116,Treatments!$C$7:$J$407,2)</f>
        <v>No treatment</v>
      </c>
      <c r="AA116" s="495">
        <f t="shared" si="57"/>
        <v>0</v>
      </c>
      <c r="AB116" s="433">
        <f>VLOOKUP(Y116,Treatments!$C$7:$J$407,8)</f>
        <v>0</v>
      </c>
      <c r="AC116" s="495">
        <f t="shared" si="58"/>
        <v>0</v>
      </c>
      <c r="AD116" s="496">
        <f t="shared" si="58"/>
        <v>0</v>
      </c>
      <c r="AE116" s="433">
        <f t="shared" si="60"/>
        <v>0</v>
      </c>
      <c r="AF116" s="411">
        <f t="shared" si="48"/>
        <v>0</v>
      </c>
      <c r="AR116" s="1"/>
    </row>
    <row r="117" spans="2:44" ht="15.75" x14ac:dyDescent="0.25">
      <c r="B117" s="305"/>
      <c r="C117" s="491" t="str">
        <f>IF(B117&lt;=0,"",VLOOKUP(B117,Treatments!$C$7:$J$407,2))</f>
        <v/>
      </c>
      <c r="D117" s="306"/>
      <c r="E117" s="433">
        <f>VLOOKUP(B117,Treatments!$C$7:$J$407,8)</f>
        <v>0</v>
      </c>
      <c r="F117" s="305"/>
      <c r="G117" s="308"/>
      <c r="H117" s="433">
        <f t="shared" si="59"/>
        <v>0</v>
      </c>
      <c r="I117" s="411">
        <f t="shared" si="55"/>
        <v>0</v>
      </c>
      <c r="L117" s="482" t="s">
        <v>994</v>
      </c>
      <c r="M117" s="483" t="s">
        <v>580</v>
      </c>
      <c r="N117" s="484" t="s">
        <v>616</v>
      </c>
      <c r="O117" s="482" t="s">
        <v>619</v>
      </c>
      <c r="P117" s="485" t="s">
        <v>617</v>
      </c>
      <c r="Q117" s="482"/>
      <c r="R117" s="485" t="s">
        <v>618</v>
      </c>
      <c r="S117" s="487"/>
      <c r="T117" s="487"/>
      <c r="U117" s="1"/>
      <c r="Y117" s="447">
        <f t="shared" si="56"/>
        <v>0</v>
      </c>
      <c r="Z117" s="491" t="str">
        <f>VLOOKUP(Y117,Treatments!$C$7:$J$407,2)</f>
        <v>No treatment</v>
      </c>
      <c r="AA117" s="495">
        <f t="shared" si="57"/>
        <v>0</v>
      </c>
      <c r="AB117" s="433">
        <f>VLOOKUP(Y117,Treatments!$C$7:$J$407,8)</f>
        <v>0</v>
      </c>
      <c r="AC117" s="495">
        <f t="shared" si="58"/>
        <v>0</v>
      </c>
      <c r="AD117" s="496">
        <f t="shared" si="58"/>
        <v>0</v>
      </c>
      <c r="AE117" s="433">
        <f t="shared" si="60"/>
        <v>0</v>
      </c>
      <c r="AF117" s="411">
        <f t="shared" si="48"/>
        <v>0</v>
      </c>
      <c r="AI117" s="499" t="s">
        <v>994</v>
      </c>
      <c r="AJ117" s="5" t="s">
        <v>580</v>
      </c>
      <c r="AK117" s="14" t="s">
        <v>616</v>
      </c>
      <c r="AL117" s="6" t="s">
        <v>619</v>
      </c>
      <c r="AM117" s="1" t="s">
        <v>617</v>
      </c>
      <c r="AN117" s="6"/>
      <c r="AO117" s="1" t="s">
        <v>618</v>
      </c>
      <c r="AP117" s="500"/>
      <c r="AQ117" s="62"/>
      <c r="AR117" s="1"/>
    </row>
    <row r="118" spans="2:44" ht="15.75" x14ac:dyDescent="0.25">
      <c r="B118" s="305"/>
      <c r="C118" s="491" t="str">
        <f>IF(B118&lt;=0,"",VLOOKUP(B118,Treatments!$C$7:$J$407,2))</f>
        <v/>
      </c>
      <c r="D118" s="306"/>
      <c r="E118" s="433">
        <f>VLOOKUP(B118,Treatments!$C$7:$J$407,8)</f>
        <v>0</v>
      </c>
      <c r="F118" s="305"/>
      <c r="G118" s="308"/>
      <c r="H118" s="433">
        <f t="shared" si="59"/>
        <v>0</v>
      </c>
      <c r="I118" s="411">
        <f t="shared" si="55"/>
        <v>0</v>
      </c>
      <c r="L118" s="305"/>
      <c r="M118" s="491" t="str">
        <f>VLOOKUP(L118,Treatments!$C$7:$J$407,2)</f>
        <v>No treatment</v>
      </c>
      <c r="N118" s="306"/>
      <c r="O118" s="433">
        <f>VLOOKUP(L118,Treatments!$C$7:$J$407,8)</f>
        <v>0</v>
      </c>
      <c r="P118" s="305"/>
      <c r="Q118" s="494"/>
      <c r="R118" s="308"/>
      <c r="S118" s="433">
        <f>N118*O118*P118*R118</f>
        <v>0</v>
      </c>
      <c r="T118" s="411">
        <f>S118*$D$9</f>
        <v>0</v>
      </c>
      <c r="U118" s="1"/>
      <c r="Y118" s="447">
        <f t="shared" si="56"/>
        <v>0</v>
      </c>
      <c r="Z118" s="491" t="str">
        <f>VLOOKUP(Y118,Treatments!$C$7:$J$407,2)</f>
        <v>No treatment</v>
      </c>
      <c r="AA118" s="495">
        <f t="shared" si="57"/>
        <v>0</v>
      </c>
      <c r="AB118" s="433">
        <f>VLOOKUP(Y118,Treatments!$C$7:$J$407,8)</f>
        <v>0</v>
      </c>
      <c r="AC118" s="495">
        <f t="shared" si="58"/>
        <v>0</v>
      </c>
      <c r="AD118" s="496">
        <f t="shared" si="58"/>
        <v>0</v>
      </c>
      <c r="AE118" s="433">
        <f t="shared" si="60"/>
        <v>0</v>
      </c>
      <c r="AF118" s="411">
        <f t="shared" si="48"/>
        <v>0</v>
      </c>
      <c r="AI118" s="447">
        <f t="shared" ref="AI118:AI129" si="61">IF(AND(L118&gt;=344,L118&lt;=358),L118+15,L118)</f>
        <v>0</v>
      </c>
      <c r="AJ118" s="491" t="str">
        <f>VLOOKUP(AI118,Treatments!$C$7:$J$407,2)</f>
        <v>No treatment</v>
      </c>
      <c r="AK118" s="495">
        <f t="shared" ref="AK118:AK129" si="62">N118</f>
        <v>0</v>
      </c>
      <c r="AL118" s="433">
        <f>VLOOKUP(AI118,Treatments!$C$7:$J$407,8)</f>
        <v>0</v>
      </c>
      <c r="AM118" s="495">
        <f t="shared" ref="AM118:AM129" si="63">P118</f>
        <v>0</v>
      </c>
      <c r="AN118" s="494"/>
      <c r="AO118" s="496">
        <f t="shared" ref="AO118:AO129" si="64">R118</f>
        <v>0</v>
      </c>
      <c r="AP118" s="433">
        <f>AK118*AL118*AM118*AO118</f>
        <v>0</v>
      </c>
      <c r="AQ118" s="411">
        <f t="shared" ref="AQ118:AQ129" si="65">AP118*$D$9</f>
        <v>0</v>
      </c>
      <c r="AR118" s="1"/>
    </row>
    <row r="119" spans="2:44" ht="15.75" x14ac:dyDescent="0.25">
      <c r="B119" s="305"/>
      <c r="C119" s="491" t="str">
        <f>IF(B119&lt;=0,"",VLOOKUP(B119,Treatments!$C$7:$J$407,2))</f>
        <v/>
      </c>
      <c r="D119" s="306"/>
      <c r="E119" s="433">
        <f>VLOOKUP(B119,Treatments!$C$7:$J$407,8)</f>
        <v>0</v>
      </c>
      <c r="F119" s="305"/>
      <c r="G119" s="308"/>
      <c r="H119" s="433">
        <f t="shared" si="59"/>
        <v>0</v>
      </c>
      <c r="I119" s="411">
        <f t="shared" si="55"/>
        <v>0</v>
      </c>
      <c r="L119" s="305"/>
      <c r="M119" s="491" t="str">
        <f>VLOOKUP(L119,Treatments!$C$7:$J$407,2)</f>
        <v>No treatment</v>
      </c>
      <c r="N119" s="306"/>
      <c r="O119" s="433">
        <f>VLOOKUP(L119,Treatments!$C$7:$J$407,8)</f>
        <v>0</v>
      </c>
      <c r="P119" s="305"/>
      <c r="Q119" s="160"/>
      <c r="R119" s="308"/>
      <c r="S119" s="433">
        <f t="shared" ref="S119:S129" si="66">N119*O119*P119*R119</f>
        <v>0</v>
      </c>
      <c r="T119" s="411">
        <f t="shared" ref="T119:T129" si="67">S119*$D$9</f>
        <v>0</v>
      </c>
      <c r="U119" s="1"/>
      <c r="Y119" s="447">
        <f t="shared" si="56"/>
        <v>0</v>
      </c>
      <c r="Z119" s="491" t="str">
        <f>VLOOKUP(Y119,Treatments!$C$7:$J$407,2)</f>
        <v>No treatment</v>
      </c>
      <c r="AA119" s="495">
        <f t="shared" si="57"/>
        <v>0</v>
      </c>
      <c r="AB119" s="433">
        <f>VLOOKUP(Y119,Treatments!$C$7:$J$407,8)</f>
        <v>0</v>
      </c>
      <c r="AC119" s="495">
        <f t="shared" si="58"/>
        <v>0</v>
      </c>
      <c r="AD119" s="496">
        <f t="shared" si="58"/>
        <v>0</v>
      </c>
      <c r="AE119" s="433">
        <f t="shared" si="60"/>
        <v>0</v>
      </c>
      <c r="AF119" s="411">
        <f t="shared" si="48"/>
        <v>0</v>
      </c>
      <c r="AI119" s="447">
        <f t="shared" si="61"/>
        <v>0</v>
      </c>
      <c r="AJ119" s="491" t="str">
        <f>VLOOKUP(AI119,Treatments!$C$7:$J$407,2)</f>
        <v>No treatment</v>
      </c>
      <c r="AK119" s="495">
        <f t="shared" si="62"/>
        <v>0</v>
      </c>
      <c r="AL119" s="433">
        <f>VLOOKUP(AI119,Treatments!$C$7:$J$407,8)</f>
        <v>0</v>
      </c>
      <c r="AM119" s="495">
        <f t="shared" si="63"/>
        <v>0</v>
      </c>
      <c r="AN119" s="160"/>
      <c r="AO119" s="496">
        <f t="shared" si="64"/>
        <v>0</v>
      </c>
      <c r="AP119" s="433">
        <f t="shared" ref="AP119:AP129" si="68">AK119*AL119*AM119*AO119</f>
        <v>0</v>
      </c>
      <c r="AQ119" s="411">
        <f t="shared" si="65"/>
        <v>0</v>
      </c>
      <c r="AR119" s="1"/>
    </row>
    <row r="120" spans="2:44" ht="15.75" x14ac:dyDescent="0.25">
      <c r="B120" s="305"/>
      <c r="C120" s="491" t="str">
        <f>IF(B120&lt;=0,"",VLOOKUP(B120,Treatments!$C$7:$J$407,2))</f>
        <v/>
      </c>
      <c r="D120" s="306"/>
      <c r="E120" s="433">
        <f>VLOOKUP(B120,Treatments!$C$7:$J$407,8)</f>
        <v>0</v>
      </c>
      <c r="F120" s="305"/>
      <c r="G120" s="308"/>
      <c r="H120" s="433">
        <f t="shared" si="59"/>
        <v>0</v>
      </c>
      <c r="I120" s="411">
        <f t="shared" si="55"/>
        <v>0</v>
      </c>
      <c r="L120" s="305"/>
      <c r="M120" s="491" t="str">
        <f>VLOOKUP(L120,Treatments!$C$7:$J$407,2)</f>
        <v>No treatment</v>
      </c>
      <c r="N120" s="306"/>
      <c r="O120" s="433">
        <f>VLOOKUP(L120,Treatments!$C$7:$J$407,8)</f>
        <v>0</v>
      </c>
      <c r="P120" s="305"/>
      <c r="Q120" s="160"/>
      <c r="R120" s="308"/>
      <c r="S120" s="433">
        <f t="shared" si="66"/>
        <v>0</v>
      </c>
      <c r="T120" s="411">
        <f t="shared" si="67"/>
        <v>0</v>
      </c>
      <c r="U120" s="1"/>
      <c r="Y120" s="447">
        <f t="shared" si="56"/>
        <v>0</v>
      </c>
      <c r="Z120" s="491" t="str">
        <f>VLOOKUP(Y120,Treatments!$C$7:$J$407,2)</f>
        <v>No treatment</v>
      </c>
      <c r="AA120" s="495">
        <f t="shared" si="57"/>
        <v>0</v>
      </c>
      <c r="AB120" s="433">
        <f>VLOOKUP(Y120,Treatments!$C$7:$J$407,8)</f>
        <v>0</v>
      </c>
      <c r="AC120" s="495">
        <f t="shared" si="58"/>
        <v>0</v>
      </c>
      <c r="AD120" s="496">
        <f t="shared" si="58"/>
        <v>0</v>
      </c>
      <c r="AE120" s="433">
        <f t="shared" si="60"/>
        <v>0</v>
      </c>
      <c r="AF120" s="411">
        <f t="shared" si="48"/>
        <v>0</v>
      </c>
      <c r="AI120" s="447">
        <f t="shared" si="61"/>
        <v>0</v>
      </c>
      <c r="AJ120" s="491" t="str">
        <f>VLOOKUP(AI120,Treatments!$C$7:$J$407,2)</f>
        <v>No treatment</v>
      </c>
      <c r="AK120" s="495">
        <f t="shared" si="62"/>
        <v>0</v>
      </c>
      <c r="AL120" s="433">
        <f>VLOOKUP(AI120,Treatments!$C$7:$J$407,8)</f>
        <v>0</v>
      </c>
      <c r="AM120" s="495">
        <f t="shared" si="63"/>
        <v>0</v>
      </c>
      <c r="AN120" s="160"/>
      <c r="AO120" s="496">
        <f t="shared" si="64"/>
        <v>0</v>
      </c>
      <c r="AP120" s="433">
        <f t="shared" si="68"/>
        <v>0</v>
      </c>
      <c r="AQ120" s="411">
        <f t="shared" si="65"/>
        <v>0</v>
      </c>
      <c r="AR120" s="1"/>
    </row>
    <row r="121" spans="2:44" ht="15.75" x14ac:dyDescent="0.25">
      <c r="B121" s="305"/>
      <c r="C121" s="491" t="str">
        <f>IF(B121&lt;=0,"",VLOOKUP(B121,Treatments!$C$7:$J$407,2))</f>
        <v/>
      </c>
      <c r="D121" s="306"/>
      <c r="E121" s="433">
        <f>VLOOKUP(B121,Treatments!$C$7:$J$407,8)</f>
        <v>0</v>
      </c>
      <c r="F121" s="305"/>
      <c r="G121" s="308"/>
      <c r="H121" s="433">
        <f t="shared" si="59"/>
        <v>0</v>
      </c>
      <c r="I121" s="411">
        <f t="shared" si="55"/>
        <v>0</v>
      </c>
      <c r="L121" s="305"/>
      <c r="M121" s="491" t="str">
        <f>VLOOKUP(L121,Treatments!$C$7:$J$407,2)</f>
        <v>No treatment</v>
      </c>
      <c r="N121" s="306"/>
      <c r="O121" s="433">
        <f>VLOOKUP(L121,Treatments!$C$7:$J$407,8)</f>
        <v>0</v>
      </c>
      <c r="P121" s="305"/>
      <c r="Q121" s="160"/>
      <c r="R121" s="308"/>
      <c r="S121" s="433">
        <f t="shared" si="66"/>
        <v>0</v>
      </c>
      <c r="T121" s="411">
        <f t="shared" si="67"/>
        <v>0</v>
      </c>
      <c r="U121" s="1"/>
      <c r="Y121" s="447">
        <f t="shared" si="56"/>
        <v>0</v>
      </c>
      <c r="Z121" s="491" t="str">
        <f>VLOOKUP(Y121,Treatments!$C$7:$J$407,2)</f>
        <v>No treatment</v>
      </c>
      <c r="AA121" s="495">
        <f t="shared" si="57"/>
        <v>0</v>
      </c>
      <c r="AB121" s="433">
        <f>VLOOKUP(Y121,Treatments!$C$7:$J$407,8)</f>
        <v>0</v>
      </c>
      <c r="AC121" s="495">
        <f t="shared" si="58"/>
        <v>0</v>
      </c>
      <c r="AD121" s="496">
        <f t="shared" si="58"/>
        <v>0</v>
      </c>
      <c r="AE121" s="433">
        <f t="shared" si="60"/>
        <v>0</v>
      </c>
      <c r="AF121" s="411">
        <f t="shared" si="48"/>
        <v>0</v>
      </c>
      <c r="AI121" s="447">
        <f t="shared" si="61"/>
        <v>0</v>
      </c>
      <c r="AJ121" s="491" t="str">
        <f>VLOOKUP(AI121,Treatments!$C$7:$J$407,2)</f>
        <v>No treatment</v>
      </c>
      <c r="AK121" s="495">
        <f t="shared" si="62"/>
        <v>0</v>
      </c>
      <c r="AL121" s="433">
        <f>VLOOKUP(AI121,Treatments!$C$7:$J$407,8)</f>
        <v>0</v>
      </c>
      <c r="AM121" s="495">
        <f t="shared" si="63"/>
        <v>0</v>
      </c>
      <c r="AN121" s="160"/>
      <c r="AO121" s="496">
        <f t="shared" si="64"/>
        <v>0</v>
      </c>
      <c r="AP121" s="433">
        <f t="shared" si="68"/>
        <v>0</v>
      </c>
      <c r="AQ121" s="411">
        <f t="shared" si="65"/>
        <v>0</v>
      </c>
      <c r="AR121" s="1"/>
    </row>
    <row r="122" spans="2:44" ht="15.75" x14ac:dyDescent="0.25">
      <c r="B122" s="305"/>
      <c r="C122" s="491" t="str">
        <f>IF(B122&lt;=0,"",VLOOKUP(B122,Treatments!$C$7:$J$407,2))</f>
        <v/>
      </c>
      <c r="D122" s="306"/>
      <c r="E122" s="433">
        <f>VLOOKUP(B122,Treatments!$C$7:$J$407,8)</f>
        <v>0</v>
      </c>
      <c r="F122" s="305"/>
      <c r="G122" s="308"/>
      <c r="H122" s="433">
        <f t="shared" si="59"/>
        <v>0</v>
      </c>
      <c r="I122" s="411">
        <f t="shared" si="55"/>
        <v>0</v>
      </c>
      <c r="L122" s="305"/>
      <c r="M122" s="491" t="str">
        <f>VLOOKUP(L122,Treatments!$C$7:$J$407,2)</f>
        <v>No treatment</v>
      </c>
      <c r="N122" s="306"/>
      <c r="O122" s="433">
        <f>VLOOKUP(L122,Treatments!$C$7:$J$407,8)</f>
        <v>0</v>
      </c>
      <c r="P122" s="305"/>
      <c r="Q122" s="160"/>
      <c r="R122" s="308"/>
      <c r="S122" s="433">
        <f t="shared" si="66"/>
        <v>0</v>
      </c>
      <c r="T122" s="411">
        <f t="shared" si="67"/>
        <v>0</v>
      </c>
      <c r="U122" s="1"/>
      <c r="Y122" s="447">
        <f t="shared" si="56"/>
        <v>0</v>
      </c>
      <c r="Z122" s="491" t="str">
        <f>VLOOKUP(Y122,Treatments!$C$7:$J$407,2)</f>
        <v>No treatment</v>
      </c>
      <c r="AA122" s="495">
        <f t="shared" si="57"/>
        <v>0</v>
      </c>
      <c r="AB122" s="433">
        <f>VLOOKUP(Y122,Treatments!$C$7:$J$407,8)</f>
        <v>0</v>
      </c>
      <c r="AC122" s="495">
        <f t="shared" si="58"/>
        <v>0</v>
      </c>
      <c r="AD122" s="496">
        <f t="shared" si="58"/>
        <v>0</v>
      </c>
      <c r="AE122" s="433">
        <f t="shared" si="60"/>
        <v>0</v>
      </c>
      <c r="AF122" s="411">
        <f t="shared" si="48"/>
        <v>0</v>
      </c>
      <c r="AI122" s="447">
        <f t="shared" si="61"/>
        <v>0</v>
      </c>
      <c r="AJ122" s="491" t="str">
        <f>VLOOKUP(AI122,Treatments!$C$7:$J$407,2)</f>
        <v>No treatment</v>
      </c>
      <c r="AK122" s="495">
        <f t="shared" si="62"/>
        <v>0</v>
      </c>
      <c r="AL122" s="433">
        <f>VLOOKUP(AI122,Treatments!$C$7:$J$407,8)</f>
        <v>0</v>
      </c>
      <c r="AM122" s="495">
        <f t="shared" si="63"/>
        <v>0</v>
      </c>
      <c r="AN122" s="160"/>
      <c r="AO122" s="496">
        <f t="shared" si="64"/>
        <v>0</v>
      </c>
      <c r="AP122" s="433">
        <f t="shared" si="68"/>
        <v>0</v>
      </c>
      <c r="AQ122" s="411">
        <f t="shared" si="65"/>
        <v>0</v>
      </c>
      <c r="AR122" s="1"/>
    </row>
    <row r="123" spans="2:44" ht="15.75" x14ac:dyDescent="0.25">
      <c r="B123" s="305"/>
      <c r="C123" s="491" t="str">
        <f>IF(B123&lt;=0,"",VLOOKUP(B123,Treatments!$C$7:$J$407,2))</f>
        <v/>
      </c>
      <c r="D123" s="306"/>
      <c r="E123" s="433">
        <f>VLOOKUP(B123,Treatments!$C$7:$J$407,8)</f>
        <v>0</v>
      </c>
      <c r="F123" s="305"/>
      <c r="G123" s="308"/>
      <c r="H123" s="433">
        <f>D123*E123*F123*G123</f>
        <v>0</v>
      </c>
      <c r="I123" s="411">
        <f t="shared" si="55"/>
        <v>0</v>
      </c>
      <c r="L123" s="305"/>
      <c r="M123" s="491" t="str">
        <f>VLOOKUP(L123,Treatments!$C$7:$J$407,2)</f>
        <v>No treatment</v>
      </c>
      <c r="N123" s="306"/>
      <c r="O123" s="433">
        <f>VLOOKUP(L123,Treatments!$C$7:$J$407,8)</f>
        <v>0</v>
      </c>
      <c r="P123" s="305"/>
      <c r="Q123" s="160"/>
      <c r="R123" s="308"/>
      <c r="S123" s="433">
        <f t="shared" si="66"/>
        <v>0</v>
      </c>
      <c r="T123" s="411">
        <f t="shared" si="67"/>
        <v>0</v>
      </c>
      <c r="U123" s="1"/>
      <c r="Y123" s="447">
        <f t="shared" si="56"/>
        <v>0</v>
      </c>
      <c r="Z123" s="491" t="str">
        <f>VLOOKUP(Y123,Treatments!$C$7:$J$407,2)</f>
        <v>No treatment</v>
      </c>
      <c r="AA123" s="495">
        <f t="shared" si="57"/>
        <v>0</v>
      </c>
      <c r="AB123" s="433">
        <f>VLOOKUP(Y123,Treatments!$C$7:$J$407,8)</f>
        <v>0</v>
      </c>
      <c r="AC123" s="495">
        <f t="shared" si="58"/>
        <v>0</v>
      </c>
      <c r="AD123" s="496">
        <f t="shared" si="58"/>
        <v>0</v>
      </c>
      <c r="AE123" s="433">
        <f>AA123*AB123*AC123*AD123</f>
        <v>0</v>
      </c>
      <c r="AF123" s="411">
        <f t="shared" si="48"/>
        <v>0</v>
      </c>
      <c r="AI123" s="447">
        <f t="shared" si="61"/>
        <v>0</v>
      </c>
      <c r="AJ123" s="491" t="str">
        <f>VLOOKUP(AI123,Treatments!$C$7:$J$407,2)</f>
        <v>No treatment</v>
      </c>
      <c r="AK123" s="495">
        <f t="shared" si="62"/>
        <v>0</v>
      </c>
      <c r="AL123" s="433">
        <f>VLOOKUP(AI123,Treatments!$C$7:$J$407,8)</f>
        <v>0</v>
      </c>
      <c r="AM123" s="495">
        <f t="shared" si="63"/>
        <v>0</v>
      </c>
      <c r="AN123" s="160"/>
      <c r="AO123" s="496">
        <f t="shared" si="64"/>
        <v>0</v>
      </c>
      <c r="AP123" s="433">
        <f t="shared" si="68"/>
        <v>0</v>
      </c>
      <c r="AQ123" s="411">
        <f t="shared" si="65"/>
        <v>0</v>
      </c>
      <c r="AR123" s="1"/>
    </row>
    <row r="124" spans="2:44" ht="15.75" x14ac:dyDescent="0.25">
      <c r="B124" s="305"/>
      <c r="C124" s="491" t="str">
        <f>IF(B124&lt;=0,"",VLOOKUP(B124,Treatments!$C$7:$J$407,2))</f>
        <v/>
      </c>
      <c r="D124" s="306"/>
      <c r="E124" s="433">
        <f>VLOOKUP(B124,Treatments!$C$7:$J$407,8)</f>
        <v>0</v>
      </c>
      <c r="F124" s="305"/>
      <c r="G124" s="308"/>
      <c r="H124" s="433">
        <f>D124*E124*F124*G124</f>
        <v>0</v>
      </c>
      <c r="I124" s="411">
        <f t="shared" si="55"/>
        <v>0</v>
      </c>
      <c r="L124" s="305"/>
      <c r="M124" s="491" t="str">
        <f>VLOOKUP(L124,Treatments!$C$7:$J$407,2)</f>
        <v>No treatment</v>
      </c>
      <c r="N124" s="306"/>
      <c r="O124" s="433">
        <f>VLOOKUP(L124,Treatments!$C$7:$J$407,8)</f>
        <v>0</v>
      </c>
      <c r="P124" s="305"/>
      <c r="Q124" s="160"/>
      <c r="R124" s="308"/>
      <c r="S124" s="433">
        <f t="shared" si="66"/>
        <v>0</v>
      </c>
      <c r="T124" s="411">
        <f t="shared" si="67"/>
        <v>0</v>
      </c>
      <c r="U124" s="1"/>
      <c r="Y124" s="447">
        <f t="shared" si="56"/>
        <v>0</v>
      </c>
      <c r="Z124" s="491" t="str">
        <f>VLOOKUP(Y124,Treatments!$C$7:$J$407,2)</f>
        <v>No treatment</v>
      </c>
      <c r="AA124" s="495">
        <f t="shared" si="57"/>
        <v>0</v>
      </c>
      <c r="AB124" s="433">
        <f>VLOOKUP(Y124,Treatments!$C$7:$J$407,8)</f>
        <v>0</v>
      </c>
      <c r="AC124" s="495">
        <f t="shared" si="58"/>
        <v>0</v>
      </c>
      <c r="AD124" s="496">
        <f t="shared" si="58"/>
        <v>0</v>
      </c>
      <c r="AE124" s="433">
        <f>AA124*AB124*AC124*AD124</f>
        <v>0</v>
      </c>
      <c r="AF124" s="411">
        <f t="shared" si="48"/>
        <v>0</v>
      </c>
      <c r="AI124" s="447">
        <f t="shared" si="61"/>
        <v>0</v>
      </c>
      <c r="AJ124" s="491" t="str">
        <f>VLOOKUP(AI124,Treatments!$C$7:$J$407,2)</f>
        <v>No treatment</v>
      </c>
      <c r="AK124" s="495">
        <f t="shared" si="62"/>
        <v>0</v>
      </c>
      <c r="AL124" s="433">
        <f>VLOOKUP(AI124,Treatments!$C$7:$J$407,8)</f>
        <v>0</v>
      </c>
      <c r="AM124" s="495">
        <f t="shared" si="63"/>
        <v>0</v>
      </c>
      <c r="AN124" s="160"/>
      <c r="AO124" s="496">
        <f t="shared" si="64"/>
        <v>0</v>
      </c>
      <c r="AP124" s="433">
        <f t="shared" si="68"/>
        <v>0</v>
      </c>
      <c r="AQ124" s="411">
        <f t="shared" si="65"/>
        <v>0</v>
      </c>
      <c r="AR124" s="1"/>
    </row>
    <row r="125" spans="2:44" ht="15.75" x14ac:dyDescent="0.25">
      <c r="B125" s="304"/>
      <c r="C125" s="1"/>
      <c r="D125" s="304"/>
      <c r="E125" s="1"/>
      <c r="F125" s="304"/>
      <c r="G125" s="312"/>
      <c r="H125" s="1"/>
      <c r="I125" s="1"/>
      <c r="L125" s="305"/>
      <c r="M125" s="491" t="str">
        <f>VLOOKUP(L125,Treatments!$C$7:$J$407,2)</f>
        <v>No treatment</v>
      </c>
      <c r="N125" s="306"/>
      <c r="O125" s="433">
        <f>VLOOKUP(L125,Treatments!$C$7:$J$407,8)</f>
        <v>0</v>
      </c>
      <c r="P125" s="305"/>
      <c r="Q125" s="160"/>
      <c r="R125" s="308"/>
      <c r="S125" s="433">
        <f t="shared" si="66"/>
        <v>0</v>
      </c>
      <c r="T125" s="411">
        <f t="shared" si="67"/>
        <v>0</v>
      </c>
      <c r="U125" s="1"/>
      <c r="Y125" s="1"/>
      <c r="Z125" s="1"/>
      <c r="AA125" s="6"/>
      <c r="AB125" s="6"/>
      <c r="AC125" s="6"/>
      <c r="AD125" s="6"/>
      <c r="AE125" s="6"/>
      <c r="AF125" s="6"/>
      <c r="AI125" s="447">
        <f t="shared" si="61"/>
        <v>0</v>
      </c>
      <c r="AJ125" s="491" t="str">
        <f>VLOOKUP(AI125,Treatments!$C$7:$J$407,2)</f>
        <v>No treatment</v>
      </c>
      <c r="AK125" s="495">
        <f t="shared" si="62"/>
        <v>0</v>
      </c>
      <c r="AL125" s="433">
        <f>VLOOKUP(AI125,Treatments!$C$7:$J$407,8)</f>
        <v>0</v>
      </c>
      <c r="AM125" s="495">
        <f t="shared" si="63"/>
        <v>0</v>
      </c>
      <c r="AN125" s="160"/>
      <c r="AO125" s="496">
        <f t="shared" si="64"/>
        <v>0</v>
      </c>
      <c r="AP125" s="433">
        <f t="shared" si="68"/>
        <v>0</v>
      </c>
      <c r="AQ125" s="411">
        <f t="shared" si="65"/>
        <v>0</v>
      </c>
      <c r="AR125" s="1"/>
    </row>
    <row r="126" spans="2:44" ht="15.75" x14ac:dyDescent="0.25">
      <c r="B126" s="379" t="s">
        <v>994</v>
      </c>
      <c r="C126" s="502" t="s">
        <v>580</v>
      </c>
      <c r="D126" s="381" t="s">
        <v>616</v>
      </c>
      <c r="E126" s="501" t="s">
        <v>619</v>
      </c>
      <c r="F126" s="382" t="s">
        <v>617</v>
      </c>
      <c r="G126" s="382" t="s">
        <v>618</v>
      </c>
      <c r="H126" s="505"/>
      <c r="I126" s="506"/>
      <c r="L126" s="305"/>
      <c r="M126" s="491" t="str">
        <f>VLOOKUP(L126,Treatments!$C$7:$J$407,2)</f>
        <v>No treatment</v>
      </c>
      <c r="N126" s="306"/>
      <c r="O126" s="433">
        <f>VLOOKUP(L126,Treatments!$C$7:$J$407,8)</f>
        <v>0</v>
      </c>
      <c r="P126" s="305"/>
      <c r="Q126" s="160"/>
      <c r="R126" s="308"/>
      <c r="S126" s="433">
        <f t="shared" si="66"/>
        <v>0</v>
      </c>
      <c r="T126" s="411">
        <f t="shared" si="67"/>
        <v>0</v>
      </c>
      <c r="U126" s="1"/>
      <c r="Y126" s="6" t="s">
        <v>994</v>
      </c>
      <c r="Z126" s="5" t="s">
        <v>580</v>
      </c>
      <c r="AA126" s="6" t="s">
        <v>616</v>
      </c>
      <c r="AB126" s="6" t="s">
        <v>619</v>
      </c>
      <c r="AC126" s="6" t="s">
        <v>617</v>
      </c>
      <c r="AD126" s="6" t="s">
        <v>618</v>
      </c>
      <c r="AE126" s="507"/>
      <c r="AF126" s="508"/>
      <c r="AI126" s="447">
        <f t="shared" si="61"/>
        <v>0</v>
      </c>
      <c r="AJ126" s="491" t="str">
        <f>VLOOKUP(AI126,Treatments!$C$7:$J$407,2)</f>
        <v>No treatment</v>
      </c>
      <c r="AK126" s="495">
        <f t="shared" si="62"/>
        <v>0</v>
      </c>
      <c r="AL126" s="433">
        <f>VLOOKUP(AI126,Treatments!$C$7:$J$407,8)</f>
        <v>0</v>
      </c>
      <c r="AM126" s="495">
        <f t="shared" si="63"/>
        <v>0</v>
      </c>
      <c r="AN126" s="160"/>
      <c r="AO126" s="496">
        <f t="shared" si="64"/>
        <v>0</v>
      </c>
      <c r="AP126" s="433">
        <f t="shared" si="68"/>
        <v>0</v>
      </c>
      <c r="AQ126" s="411">
        <f t="shared" si="65"/>
        <v>0</v>
      </c>
      <c r="AR126" s="1"/>
    </row>
    <row r="127" spans="2:44" ht="15.75" x14ac:dyDescent="0.25">
      <c r="B127" s="305"/>
      <c r="C127" s="491" t="str">
        <f>IF(B127&lt;=0,"",VLOOKUP(B127,Treatments!$C$7:$J$407,2))</f>
        <v/>
      </c>
      <c r="D127" s="306"/>
      <c r="E127" s="433">
        <f>VLOOKUP(B127,Treatments!$C$7:$J$407,8)</f>
        <v>0</v>
      </c>
      <c r="F127" s="305"/>
      <c r="G127" s="308"/>
      <c r="H127" s="433">
        <f t="shared" ref="H127:H138" si="69">D127*E127*F127*G127</f>
        <v>0</v>
      </c>
      <c r="I127" s="411">
        <f>H127*$D$9</f>
        <v>0</v>
      </c>
      <c r="L127" s="305"/>
      <c r="M127" s="491" t="str">
        <f>VLOOKUP(L127,Treatments!$C$7:$J$407,2)</f>
        <v>No treatment</v>
      </c>
      <c r="N127" s="306"/>
      <c r="O127" s="433">
        <f>VLOOKUP(L127,Treatments!$C$7:$J$407,8)</f>
        <v>0</v>
      </c>
      <c r="P127" s="305"/>
      <c r="Q127" s="160"/>
      <c r="R127" s="308"/>
      <c r="S127" s="433">
        <f t="shared" si="66"/>
        <v>0</v>
      </c>
      <c r="T127" s="411">
        <f t="shared" si="67"/>
        <v>0</v>
      </c>
      <c r="U127" s="1"/>
      <c r="Y127" s="447">
        <f>IF(AND(B127&gt;=344,B127&lt;=358),B127+15,B127)</f>
        <v>0</v>
      </c>
      <c r="Z127" s="491" t="str">
        <f>VLOOKUP(Y127,Treatments!$C$7:$J$407,2)</f>
        <v>No treatment</v>
      </c>
      <c r="AA127" s="495">
        <f t="shared" ref="AA127:AA138" si="70">D127</f>
        <v>0</v>
      </c>
      <c r="AB127" s="433">
        <f>VLOOKUP(Y127,Treatments!$C$7:$J$407,8)</f>
        <v>0</v>
      </c>
      <c r="AC127" s="495">
        <f t="shared" ref="AC127:AD138" si="71">F127</f>
        <v>0</v>
      </c>
      <c r="AD127" s="496">
        <f t="shared" si="71"/>
        <v>0</v>
      </c>
      <c r="AE127" s="433">
        <f t="shared" ref="AE127:AE138" si="72">AA127*AB127*AC127*AD127</f>
        <v>0</v>
      </c>
      <c r="AF127" s="411">
        <f t="shared" ref="AF127:AF138" si="73">AE127*$D$9</f>
        <v>0</v>
      </c>
      <c r="AI127" s="447">
        <f t="shared" si="61"/>
        <v>0</v>
      </c>
      <c r="AJ127" s="491" t="str">
        <f>VLOOKUP(AI127,Treatments!$C$7:$J$407,2)</f>
        <v>No treatment</v>
      </c>
      <c r="AK127" s="495">
        <f t="shared" si="62"/>
        <v>0</v>
      </c>
      <c r="AL127" s="433">
        <f>VLOOKUP(AI127,Treatments!$C$7:$J$407,8)</f>
        <v>0</v>
      </c>
      <c r="AM127" s="495">
        <f t="shared" si="63"/>
        <v>0</v>
      </c>
      <c r="AN127" s="160"/>
      <c r="AO127" s="496">
        <f t="shared" si="64"/>
        <v>0</v>
      </c>
      <c r="AP127" s="433">
        <f t="shared" si="68"/>
        <v>0</v>
      </c>
      <c r="AQ127" s="411">
        <f t="shared" si="65"/>
        <v>0</v>
      </c>
      <c r="AR127" s="1"/>
    </row>
    <row r="128" spans="2:44" ht="15.75" x14ac:dyDescent="0.25">
      <c r="B128" s="305">
        <v>345</v>
      </c>
      <c r="C128" s="491" t="str">
        <f>IF(B128&lt;=0,"",VLOOKUP(B128,Treatments!$C$7:$J$407,2))</f>
        <v>No till seeder</v>
      </c>
      <c r="D128" s="306">
        <v>1</v>
      </c>
      <c r="E128" s="433">
        <f>VLOOKUP(B128,Treatments!$C$7:$J$407,8)</f>
        <v>12.3</v>
      </c>
      <c r="F128" s="305">
        <v>1</v>
      </c>
      <c r="G128" s="308">
        <v>1</v>
      </c>
      <c r="H128" s="433">
        <f t="shared" si="69"/>
        <v>12.3</v>
      </c>
      <c r="I128" s="411">
        <f t="shared" ref="I128:I138" si="74">H128*$D$9</f>
        <v>1230</v>
      </c>
      <c r="L128" s="435"/>
      <c r="M128" s="491" t="str">
        <f>VLOOKUP(L128,Treatments!$C$7:$J$407,2)</f>
        <v>No treatment</v>
      </c>
      <c r="N128" s="492"/>
      <c r="O128" s="433">
        <f>VLOOKUP(L128,Treatments!$C$7:$J$407,8)</f>
        <v>0</v>
      </c>
      <c r="P128" s="435"/>
      <c r="Q128" s="160"/>
      <c r="R128" s="493"/>
      <c r="S128" s="433">
        <f t="shared" si="66"/>
        <v>0</v>
      </c>
      <c r="T128" s="411">
        <f t="shared" si="67"/>
        <v>0</v>
      </c>
      <c r="U128" s="1"/>
      <c r="Y128" s="447">
        <f t="shared" ref="Y128:Y138" si="75">IF(AND(B128&gt;=344,B128&lt;=358),B128+15,B128)</f>
        <v>360</v>
      </c>
      <c r="Z128" s="491" t="str">
        <f>VLOOKUP(Y128,Treatments!$C$7:$J$407,2)</f>
        <v>No till seeder</v>
      </c>
      <c r="AA128" s="495">
        <f t="shared" si="70"/>
        <v>1</v>
      </c>
      <c r="AB128" s="433">
        <f>VLOOKUP(Y128,Treatments!$C$7:$J$407,8)</f>
        <v>32.082500000000003</v>
      </c>
      <c r="AC128" s="495">
        <f t="shared" si="71"/>
        <v>1</v>
      </c>
      <c r="AD128" s="496">
        <f t="shared" si="71"/>
        <v>1</v>
      </c>
      <c r="AE128" s="433">
        <f t="shared" si="72"/>
        <v>32.082500000000003</v>
      </c>
      <c r="AF128" s="411">
        <f t="shared" si="73"/>
        <v>3208.2500000000005</v>
      </c>
      <c r="AI128" s="447">
        <f t="shared" si="61"/>
        <v>0</v>
      </c>
      <c r="AJ128" s="491" t="str">
        <f>VLOOKUP(AI128,Treatments!$C$7:$J$407,2)</f>
        <v>No treatment</v>
      </c>
      <c r="AK128" s="495">
        <f t="shared" si="62"/>
        <v>0</v>
      </c>
      <c r="AL128" s="433">
        <f>VLOOKUP(AI128,Treatments!$C$7:$J$407,8)</f>
        <v>0</v>
      </c>
      <c r="AM128" s="495">
        <f t="shared" si="63"/>
        <v>0</v>
      </c>
      <c r="AN128" s="160"/>
      <c r="AO128" s="496">
        <f t="shared" si="64"/>
        <v>0</v>
      </c>
      <c r="AP128" s="433">
        <f t="shared" si="68"/>
        <v>0</v>
      </c>
      <c r="AQ128" s="411">
        <f t="shared" si="65"/>
        <v>0</v>
      </c>
      <c r="AR128" s="1"/>
    </row>
    <row r="129" spans="2:44" ht="15.75" x14ac:dyDescent="0.25">
      <c r="B129" s="305">
        <v>285</v>
      </c>
      <c r="C129" s="491" t="str">
        <f>IF(B129&lt;=0,"",VLOOKUP(B129,Treatments!$C$7:$J$407,2))</f>
        <v xml:space="preserve">Forage sorghum </v>
      </c>
      <c r="D129" s="306">
        <v>4</v>
      </c>
      <c r="E129" s="433">
        <f>VLOOKUP(B129,Treatments!$C$7:$J$407,8)</f>
        <v>6</v>
      </c>
      <c r="F129" s="305">
        <v>1</v>
      </c>
      <c r="G129" s="308">
        <v>1</v>
      </c>
      <c r="H129" s="433">
        <f t="shared" si="69"/>
        <v>24</v>
      </c>
      <c r="I129" s="411">
        <f t="shared" si="74"/>
        <v>2400</v>
      </c>
      <c r="L129" s="435"/>
      <c r="M129" s="491" t="str">
        <f>VLOOKUP(L129,Treatments!$C$7:$J$407,2)</f>
        <v>No treatment</v>
      </c>
      <c r="N129" s="492"/>
      <c r="O129" s="433">
        <f>VLOOKUP(L129,Treatments!$C$7:$J$407,8)</f>
        <v>0</v>
      </c>
      <c r="P129" s="435"/>
      <c r="Q129" s="498"/>
      <c r="R129" s="493"/>
      <c r="S129" s="433">
        <f t="shared" si="66"/>
        <v>0</v>
      </c>
      <c r="T129" s="411">
        <f t="shared" si="67"/>
        <v>0</v>
      </c>
      <c r="U129" s="1"/>
      <c r="Y129" s="447">
        <f t="shared" si="75"/>
        <v>285</v>
      </c>
      <c r="Z129" s="491" t="str">
        <f>VLOOKUP(Y129,Treatments!$C$7:$J$407,2)</f>
        <v xml:space="preserve">Forage sorghum </v>
      </c>
      <c r="AA129" s="495">
        <f t="shared" si="70"/>
        <v>4</v>
      </c>
      <c r="AB129" s="433">
        <f>VLOOKUP(Y129,Treatments!$C$7:$J$407,8)</f>
        <v>6</v>
      </c>
      <c r="AC129" s="495">
        <f t="shared" si="71"/>
        <v>1</v>
      </c>
      <c r="AD129" s="496">
        <f t="shared" si="71"/>
        <v>1</v>
      </c>
      <c r="AE129" s="433">
        <f t="shared" si="72"/>
        <v>24</v>
      </c>
      <c r="AF129" s="411">
        <f t="shared" si="73"/>
        <v>2400</v>
      </c>
      <c r="AI129" s="447">
        <f t="shared" si="61"/>
        <v>0</v>
      </c>
      <c r="AJ129" s="491" t="str">
        <f>VLOOKUP(AI129,Treatments!$C$7:$J$407,2)</f>
        <v>No treatment</v>
      </c>
      <c r="AK129" s="495">
        <f t="shared" si="62"/>
        <v>0</v>
      </c>
      <c r="AL129" s="433">
        <f>VLOOKUP(AI129,Treatments!$C$7:$J$407,8)</f>
        <v>0</v>
      </c>
      <c r="AM129" s="495">
        <f t="shared" si="63"/>
        <v>0</v>
      </c>
      <c r="AN129" s="498"/>
      <c r="AO129" s="496">
        <f t="shared" si="64"/>
        <v>0</v>
      </c>
      <c r="AP129" s="433">
        <f t="shared" si="68"/>
        <v>0</v>
      </c>
      <c r="AQ129" s="411">
        <f t="shared" si="65"/>
        <v>0</v>
      </c>
      <c r="AR129" s="1"/>
    </row>
    <row r="130" spans="2:44" ht="15.75" x14ac:dyDescent="0.25">
      <c r="B130" s="305"/>
      <c r="C130" s="491" t="str">
        <f>IF(B130&lt;=0,"",VLOOKUP(B130,Treatments!$C$7:$J$407,2))</f>
        <v/>
      </c>
      <c r="D130" s="306"/>
      <c r="E130" s="433">
        <f>VLOOKUP(B130,Treatments!$C$7:$J$407,8)</f>
        <v>0</v>
      </c>
      <c r="F130" s="305"/>
      <c r="G130" s="308"/>
      <c r="H130" s="433">
        <f t="shared" si="69"/>
        <v>0</v>
      </c>
      <c r="I130" s="411">
        <f t="shared" si="74"/>
        <v>0</v>
      </c>
      <c r="L130" s="1"/>
      <c r="M130" s="1"/>
      <c r="N130" s="1"/>
      <c r="O130" s="1"/>
      <c r="P130" s="1"/>
      <c r="Q130" s="1"/>
      <c r="R130" s="6"/>
      <c r="S130" s="1"/>
      <c r="T130" s="1"/>
      <c r="U130" s="1"/>
      <c r="Y130" s="447">
        <f t="shared" si="75"/>
        <v>0</v>
      </c>
      <c r="Z130" s="491" t="str">
        <f>VLOOKUP(Y130,Treatments!$C$7:$J$407,2)</f>
        <v>No treatment</v>
      </c>
      <c r="AA130" s="495">
        <f t="shared" si="70"/>
        <v>0</v>
      </c>
      <c r="AB130" s="433">
        <f>VLOOKUP(Y130,Treatments!$C$7:$J$407,8)</f>
        <v>0</v>
      </c>
      <c r="AC130" s="495">
        <f t="shared" si="71"/>
        <v>0</v>
      </c>
      <c r="AD130" s="496">
        <f t="shared" si="71"/>
        <v>0</v>
      </c>
      <c r="AE130" s="433">
        <f t="shared" si="72"/>
        <v>0</v>
      </c>
      <c r="AF130" s="411">
        <f t="shared" si="73"/>
        <v>0</v>
      </c>
      <c r="AI130" s="509"/>
      <c r="AJ130" s="1"/>
      <c r="AK130" s="1"/>
      <c r="AL130" s="1"/>
      <c r="AM130" s="1"/>
      <c r="AN130" s="1"/>
      <c r="AO130" s="6"/>
      <c r="AP130" s="1"/>
      <c r="AQ130" s="1"/>
      <c r="AR130" s="1"/>
    </row>
    <row r="131" spans="2:44" ht="15.75" x14ac:dyDescent="0.25">
      <c r="B131" s="305">
        <v>345</v>
      </c>
      <c r="C131" s="491" t="str">
        <f>IF(B131&lt;=0,"",VLOOKUP(B131,Treatments!$C$7:$J$407,2))</f>
        <v>No till seeder</v>
      </c>
      <c r="D131" s="306">
        <v>1</v>
      </c>
      <c r="E131" s="433">
        <f>VLOOKUP(B131,Treatments!$C$7:$J$407,8)</f>
        <v>12.3</v>
      </c>
      <c r="F131" s="305">
        <v>1</v>
      </c>
      <c r="G131" s="308">
        <v>1</v>
      </c>
      <c r="H131" s="433">
        <f t="shared" si="69"/>
        <v>12.3</v>
      </c>
      <c r="I131" s="411">
        <f t="shared" si="74"/>
        <v>1230</v>
      </c>
      <c r="L131" s="482" t="s">
        <v>994</v>
      </c>
      <c r="M131" s="483" t="s">
        <v>581</v>
      </c>
      <c r="N131" s="484" t="s">
        <v>616</v>
      </c>
      <c r="O131" s="482" t="s">
        <v>619</v>
      </c>
      <c r="P131" s="485" t="s">
        <v>617</v>
      </c>
      <c r="Q131" s="482"/>
      <c r="R131" s="485" t="s">
        <v>618</v>
      </c>
      <c r="S131" s="487"/>
      <c r="T131" s="487"/>
      <c r="U131" s="1"/>
      <c r="Y131" s="447">
        <f t="shared" si="75"/>
        <v>360</v>
      </c>
      <c r="Z131" s="491" t="str">
        <f>VLOOKUP(Y131,Treatments!$C$7:$J$407,2)</f>
        <v>No till seeder</v>
      </c>
      <c r="AA131" s="495">
        <f t="shared" si="70"/>
        <v>1</v>
      </c>
      <c r="AB131" s="433">
        <f>VLOOKUP(Y131,Treatments!$C$7:$J$407,8)</f>
        <v>32.082500000000003</v>
      </c>
      <c r="AC131" s="495">
        <f t="shared" si="71"/>
        <v>1</v>
      </c>
      <c r="AD131" s="496">
        <f t="shared" si="71"/>
        <v>1</v>
      </c>
      <c r="AE131" s="433">
        <f t="shared" si="72"/>
        <v>32.082500000000003</v>
      </c>
      <c r="AF131" s="411">
        <f t="shared" si="73"/>
        <v>3208.2500000000005</v>
      </c>
      <c r="AI131" s="499" t="s">
        <v>994</v>
      </c>
      <c r="AJ131" s="5" t="s">
        <v>581</v>
      </c>
      <c r="AK131" s="14" t="s">
        <v>616</v>
      </c>
      <c r="AL131" s="6" t="s">
        <v>619</v>
      </c>
      <c r="AM131" s="1" t="s">
        <v>617</v>
      </c>
      <c r="AN131" s="6"/>
      <c r="AO131" s="1" t="s">
        <v>618</v>
      </c>
      <c r="AP131" s="500"/>
      <c r="AQ131" s="62"/>
      <c r="AR131" s="1"/>
    </row>
    <row r="132" spans="2:44" ht="15.75" x14ac:dyDescent="0.25">
      <c r="B132" s="305">
        <v>90</v>
      </c>
      <c r="C132" s="491" t="str">
        <f>IF(B132&lt;=0,"",VLOOKUP(B132,Treatments!$C$7:$J$407,2))</f>
        <v>Urea</v>
      </c>
      <c r="D132" s="306">
        <v>43</v>
      </c>
      <c r="E132" s="433">
        <f>VLOOKUP(B132,Treatments!$C$7:$J$407,8)</f>
        <v>0.5</v>
      </c>
      <c r="F132" s="305">
        <v>1</v>
      </c>
      <c r="G132" s="308">
        <v>1</v>
      </c>
      <c r="H132" s="433">
        <f t="shared" si="69"/>
        <v>21.5</v>
      </c>
      <c r="I132" s="411">
        <f t="shared" si="74"/>
        <v>2150</v>
      </c>
      <c r="L132" s="305"/>
      <c r="M132" s="491" t="str">
        <f>VLOOKUP(L132,Treatments!$C$7:$J$407,2)</f>
        <v>No treatment</v>
      </c>
      <c r="N132" s="306"/>
      <c r="O132" s="433">
        <f>VLOOKUP(L132,Treatments!$C$7:$J$407,8)</f>
        <v>0</v>
      </c>
      <c r="P132" s="305"/>
      <c r="Q132" s="494"/>
      <c r="R132" s="308"/>
      <c r="S132" s="433">
        <f t="shared" ref="S132:S137" si="76">N132*O132*P132*R132</f>
        <v>0</v>
      </c>
      <c r="T132" s="411">
        <f t="shared" ref="T132:T138" si="77">S132*$D$9</f>
        <v>0</v>
      </c>
      <c r="U132" s="1"/>
      <c r="Y132" s="447">
        <f t="shared" si="75"/>
        <v>90</v>
      </c>
      <c r="Z132" s="491" t="str">
        <f>VLOOKUP(Y132,Treatments!$C$7:$J$407,2)</f>
        <v>Urea</v>
      </c>
      <c r="AA132" s="495">
        <f t="shared" si="70"/>
        <v>43</v>
      </c>
      <c r="AB132" s="433">
        <f>VLOOKUP(Y132,Treatments!$C$7:$J$407,8)</f>
        <v>0.5</v>
      </c>
      <c r="AC132" s="495">
        <f t="shared" si="71"/>
        <v>1</v>
      </c>
      <c r="AD132" s="496">
        <f t="shared" si="71"/>
        <v>1</v>
      </c>
      <c r="AE132" s="433">
        <f t="shared" si="72"/>
        <v>21.5</v>
      </c>
      <c r="AF132" s="411">
        <f t="shared" si="73"/>
        <v>2150</v>
      </c>
      <c r="AI132" s="447">
        <f t="shared" ref="AI132:AI137" si="78">IF(AND(L132&gt;=344,L132&lt;=358),L132+15,L132)</f>
        <v>0</v>
      </c>
      <c r="AJ132" s="491" t="str">
        <f>VLOOKUP(AI132,Treatments!$C$7:$J$407,2)</f>
        <v>No treatment</v>
      </c>
      <c r="AK132" s="495">
        <f t="shared" ref="AK132:AK137" si="79">N132</f>
        <v>0</v>
      </c>
      <c r="AL132" s="433">
        <f>VLOOKUP(AI132,Treatments!$C$7:$J$407,8)</f>
        <v>0</v>
      </c>
      <c r="AM132" s="495">
        <f t="shared" ref="AM132:AM137" si="80">P132</f>
        <v>0</v>
      </c>
      <c r="AN132" s="494"/>
      <c r="AO132" s="496">
        <f t="shared" ref="AO132:AO137" si="81">R132</f>
        <v>0</v>
      </c>
      <c r="AP132" s="433">
        <f t="shared" ref="AP132:AP137" si="82">AK132*AL132*AM132*AO132</f>
        <v>0</v>
      </c>
      <c r="AQ132" s="411">
        <f t="shared" ref="AQ132:AQ137" si="83">AP132*$D$9</f>
        <v>0</v>
      </c>
      <c r="AR132" s="1"/>
    </row>
    <row r="133" spans="2:44" ht="15.75" x14ac:dyDescent="0.25">
      <c r="B133" s="305"/>
      <c r="C133" s="491" t="str">
        <f>IF(B133&lt;=0,"",VLOOKUP(B133,Treatments!$C$7:$J$407,2))</f>
        <v/>
      </c>
      <c r="D133" s="306"/>
      <c r="E133" s="433">
        <f>VLOOKUP(B133,Treatments!$C$7:$J$407,8)</f>
        <v>0</v>
      </c>
      <c r="F133" s="305"/>
      <c r="G133" s="308"/>
      <c r="H133" s="433">
        <f t="shared" si="69"/>
        <v>0</v>
      </c>
      <c r="I133" s="411">
        <f t="shared" si="74"/>
        <v>0</v>
      </c>
      <c r="L133" s="305"/>
      <c r="M133" s="491" t="str">
        <f>VLOOKUP(L133,Treatments!$C$7:$J$407,2)</f>
        <v>No treatment</v>
      </c>
      <c r="N133" s="306"/>
      <c r="O133" s="433">
        <f>VLOOKUP(L133,Treatments!$C$7:$J$407,8)</f>
        <v>0</v>
      </c>
      <c r="P133" s="305"/>
      <c r="Q133" s="160"/>
      <c r="R133" s="308"/>
      <c r="S133" s="433">
        <f t="shared" si="76"/>
        <v>0</v>
      </c>
      <c r="T133" s="411">
        <f t="shared" si="77"/>
        <v>0</v>
      </c>
      <c r="U133" s="1"/>
      <c r="Y133" s="447">
        <f t="shared" si="75"/>
        <v>0</v>
      </c>
      <c r="Z133" s="491" t="str">
        <f>VLOOKUP(Y133,Treatments!$C$7:$J$407,2)</f>
        <v>No treatment</v>
      </c>
      <c r="AA133" s="495">
        <f t="shared" si="70"/>
        <v>0</v>
      </c>
      <c r="AB133" s="433">
        <f>VLOOKUP(Y133,Treatments!$C$7:$J$407,8)</f>
        <v>0</v>
      </c>
      <c r="AC133" s="495">
        <f t="shared" si="71"/>
        <v>0</v>
      </c>
      <c r="AD133" s="496">
        <f t="shared" si="71"/>
        <v>0</v>
      </c>
      <c r="AE133" s="433">
        <f t="shared" si="72"/>
        <v>0</v>
      </c>
      <c r="AF133" s="411">
        <f t="shared" si="73"/>
        <v>0</v>
      </c>
      <c r="AI133" s="447">
        <f t="shared" si="78"/>
        <v>0</v>
      </c>
      <c r="AJ133" s="491" t="str">
        <f>VLOOKUP(AI133,Treatments!$C$7:$J$407,2)</f>
        <v>No treatment</v>
      </c>
      <c r="AK133" s="495">
        <f t="shared" si="79"/>
        <v>0</v>
      </c>
      <c r="AL133" s="433">
        <f>VLOOKUP(AI133,Treatments!$C$7:$J$407,8)</f>
        <v>0</v>
      </c>
      <c r="AM133" s="495">
        <f t="shared" si="80"/>
        <v>0</v>
      </c>
      <c r="AN133" s="160"/>
      <c r="AO133" s="496">
        <f t="shared" si="81"/>
        <v>0</v>
      </c>
      <c r="AP133" s="433">
        <f t="shared" si="82"/>
        <v>0</v>
      </c>
      <c r="AQ133" s="411">
        <f t="shared" si="83"/>
        <v>0</v>
      </c>
      <c r="AR133" s="1"/>
    </row>
    <row r="134" spans="2:44" ht="15.75" x14ac:dyDescent="0.25">
      <c r="B134" s="305"/>
      <c r="C134" s="491" t="str">
        <f>IF(B134&lt;=0,"",VLOOKUP(B134,Treatments!$C$7:$J$407,2))</f>
        <v/>
      </c>
      <c r="D134" s="306"/>
      <c r="E134" s="433">
        <f>VLOOKUP(B134,Treatments!$C$7:$J$407,8)</f>
        <v>0</v>
      </c>
      <c r="F134" s="305"/>
      <c r="G134" s="308"/>
      <c r="H134" s="433">
        <f t="shared" si="69"/>
        <v>0</v>
      </c>
      <c r="I134" s="411">
        <f t="shared" si="74"/>
        <v>0</v>
      </c>
      <c r="L134" s="305"/>
      <c r="M134" s="491" t="str">
        <f>VLOOKUP(L134,Treatments!$C$7:$J$407,2)</f>
        <v>No treatment</v>
      </c>
      <c r="N134" s="306"/>
      <c r="O134" s="433">
        <f>VLOOKUP(L134,Treatments!$C$7:$J$407,8)</f>
        <v>0</v>
      </c>
      <c r="P134" s="305"/>
      <c r="Q134" s="160"/>
      <c r="R134" s="308"/>
      <c r="S134" s="433">
        <f t="shared" si="76"/>
        <v>0</v>
      </c>
      <c r="T134" s="411">
        <f t="shared" si="77"/>
        <v>0</v>
      </c>
      <c r="U134" s="1"/>
      <c r="Y134" s="447">
        <f t="shared" si="75"/>
        <v>0</v>
      </c>
      <c r="Z134" s="491" t="str">
        <f>VLOOKUP(Y134,Treatments!$C$7:$J$407,2)</f>
        <v>No treatment</v>
      </c>
      <c r="AA134" s="495">
        <f t="shared" si="70"/>
        <v>0</v>
      </c>
      <c r="AB134" s="433">
        <f>VLOOKUP(Y134,Treatments!$C$7:$J$407,8)</f>
        <v>0</v>
      </c>
      <c r="AC134" s="495">
        <f t="shared" si="71"/>
        <v>0</v>
      </c>
      <c r="AD134" s="496">
        <f t="shared" si="71"/>
        <v>0</v>
      </c>
      <c r="AE134" s="433">
        <f t="shared" si="72"/>
        <v>0</v>
      </c>
      <c r="AF134" s="411">
        <f t="shared" si="73"/>
        <v>0</v>
      </c>
      <c r="AI134" s="447">
        <f t="shared" si="78"/>
        <v>0</v>
      </c>
      <c r="AJ134" s="491" t="str">
        <f>VLOOKUP(AI134,Treatments!$C$7:$J$407,2)</f>
        <v>No treatment</v>
      </c>
      <c r="AK134" s="495">
        <f t="shared" si="79"/>
        <v>0</v>
      </c>
      <c r="AL134" s="433">
        <f>VLOOKUP(AI134,Treatments!$C$7:$J$407,8)</f>
        <v>0</v>
      </c>
      <c r="AM134" s="495">
        <f t="shared" si="80"/>
        <v>0</v>
      </c>
      <c r="AN134" s="160"/>
      <c r="AO134" s="496">
        <f t="shared" si="81"/>
        <v>0</v>
      </c>
      <c r="AP134" s="433">
        <f t="shared" si="82"/>
        <v>0</v>
      </c>
      <c r="AQ134" s="411">
        <f t="shared" si="83"/>
        <v>0</v>
      </c>
      <c r="AR134" s="1"/>
    </row>
    <row r="135" spans="2:44" ht="15.75" x14ac:dyDescent="0.25">
      <c r="B135" s="305"/>
      <c r="C135" s="491" t="str">
        <f>IF(B135&lt;=0,"",VLOOKUP(B135,Treatments!$C$7:$J$407,2))</f>
        <v/>
      </c>
      <c r="D135" s="306"/>
      <c r="E135" s="433">
        <f>VLOOKUP(B135,Treatments!$C$7:$J$407,8)</f>
        <v>0</v>
      </c>
      <c r="F135" s="305"/>
      <c r="G135" s="308"/>
      <c r="H135" s="433">
        <f t="shared" si="69"/>
        <v>0</v>
      </c>
      <c r="I135" s="411">
        <f t="shared" si="74"/>
        <v>0</v>
      </c>
      <c r="L135" s="305"/>
      <c r="M135" s="491" t="str">
        <f>VLOOKUP(L135,Treatments!$C$7:$J$407,2)</f>
        <v>No treatment</v>
      </c>
      <c r="N135" s="306"/>
      <c r="O135" s="433">
        <f>VLOOKUP(L135,Treatments!$C$7:$J$407,8)</f>
        <v>0</v>
      </c>
      <c r="P135" s="305"/>
      <c r="Q135" s="160"/>
      <c r="R135" s="308"/>
      <c r="S135" s="433">
        <f t="shared" si="76"/>
        <v>0</v>
      </c>
      <c r="T135" s="411">
        <f t="shared" si="77"/>
        <v>0</v>
      </c>
      <c r="U135" s="1"/>
      <c r="Y135" s="447">
        <f t="shared" si="75"/>
        <v>0</v>
      </c>
      <c r="Z135" s="491" t="str">
        <f>VLOOKUP(Y135,Treatments!$C$7:$J$407,2)</f>
        <v>No treatment</v>
      </c>
      <c r="AA135" s="495">
        <f t="shared" si="70"/>
        <v>0</v>
      </c>
      <c r="AB135" s="433">
        <f>VLOOKUP(Y135,Treatments!$C$7:$J$407,8)</f>
        <v>0</v>
      </c>
      <c r="AC135" s="495">
        <f t="shared" si="71"/>
        <v>0</v>
      </c>
      <c r="AD135" s="496">
        <f t="shared" si="71"/>
        <v>0</v>
      </c>
      <c r="AE135" s="433">
        <f t="shared" si="72"/>
        <v>0</v>
      </c>
      <c r="AF135" s="411">
        <f t="shared" si="73"/>
        <v>0</v>
      </c>
      <c r="AI135" s="447">
        <f t="shared" si="78"/>
        <v>0</v>
      </c>
      <c r="AJ135" s="491" t="str">
        <f>VLOOKUP(AI135,Treatments!$C$7:$J$407,2)</f>
        <v>No treatment</v>
      </c>
      <c r="AK135" s="495">
        <f t="shared" si="79"/>
        <v>0</v>
      </c>
      <c r="AL135" s="433">
        <f>VLOOKUP(AI135,Treatments!$C$7:$J$407,8)</f>
        <v>0</v>
      </c>
      <c r="AM135" s="495">
        <f t="shared" si="80"/>
        <v>0</v>
      </c>
      <c r="AN135" s="160"/>
      <c r="AO135" s="496">
        <f t="shared" si="81"/>
        <v>0</v>
      </c>
      <c r="AP135" s="433">
        <f t="shared" si="82"/>
        <v>0</v>
      </c>
      <c r="AQ135" s="411">
        <f t="shared" si="83"/>
        <v>0</v>
      </c>
      <c r="AR135" s="1"/>
    </row>
    <row r="136" spans="2:44" ht="15.75" x14ac:dyDescent="0.25">
      <c r="B136" s="305"/>
      <c r="C136" s="491" t="str">
        <f>IF(B136&lt;=0,"",VLOOKUP(B136,Treatments!$C$7:$J$407,2))</f>
        <v/>
      </c>
      <c r="D136" s="306"/>
      <c r="E136" s="433">
        <f>VLOOKUP(B136,Treatments!$C$7:$J$407,8)</f>
        <v>0</v>
      </c>
      <c r="F136" s="305"/>
      <c r="G136" s="308"/>
      <c r="H136" s="433">
        <f t="shared" si="69"/>
        <v>0</v>
      </c>
      <c r="I136" s="411">
        <f t="shared" si="74"/>
        <v>0</v>
      </c>
      <c r="L136" s="435"/>
      <c r="M136" s="491" t="str">
        <f>VLOOKUP(L136,Treatments!$C$7:$J$407,2)</f>
        <v>No treatment</v>
      </c>
      <c r="N136" s="492"/>
      <c r="O136" s="433">
        <f>VLOOKUP(L136,Treatments!$C$7:$J$407,8)</f>
        <v>0</v>
      </c>
      <c r="P136" s="435"/>
      <c r="Q136" s="160"/>
      <c r="R136" s="308"/>
      <c r="S136" s="433">
        <f t="shared" si="76"/>
        <v>0</v>
      </c>
      <c r="T136" s="411">
        <f t="shared" si="77"/>
        <v>0</v>
      </c>
      <c r="U136" s="1"/>
      <c r="Y136" s="447">
        <f t="shared" si="75"/>
        <v>0</v>
      </c>
      <c r="Z136" s="491" t="str">
        <f>VLOOKUP(Y136,Treatments!$C$7:$J$407,2)</f>
        <v>No treatment</v>
      </c>
      <c r="AA136" s="495">
        <f t="shared" si="70"/>
        <v>0</v>
      </c>
      <c r="AB136" s="433">
        <f>VLOOKUP(Y136,Treatments!$C$7:$J$407,8)</f>
        <v>0</v>
      </c>
      <c r="AC136" s="495">
        <f t="shared" si="71"/>
        <v>0</v>
      </c>
      <c r="AD136" s="496">
        <f t="shared" si="71"/>
        <v>0</v>
      </c>
      <c r="AE136" s="433">
        <f t="shared" si="72"/>
        <v>0</v>
      </c>
      <c r="AF136" s="411">
        <f t="shared" si="73"/>
        <v>0</v>
      </c>
      <c r="AI136" s="447">
        <f t="shared" si="78"/>
        <v>0</v>
      </c>
      <c r="AJ136" s="491" t="str">
        <f>VLOOKUP(AI136,Treatments!$C$7:$J$407,2)</f>
        <v>No treatment</v>
      </c>
      <c r="AK136" s="495">
        <f t="shared" si="79"/>
        <v>0</v>
      </c>
      <c r="AL136" s="433">
        <f>VLOOKUP(AI136,Treatments!$C$7:$J$407,8)</f>
        <v>0</v>
      </c>
      <c r="AM136" s="495">
        <f t="shared" si="80"/>
        <v>0</v>
      </c>
      <c r="AN136" s="160"/>
      <c r="AO136" s="496">
        <f t="shared" si="81"/>
        <v>0</v>
      </c>
      <c r="AP136" s="433">
        <f t="shared" si="82"/>
        <v>0</v>
      </c>
      <c r="AQ136" s="411">
        <f t="shared" si="83"/>
        <v>0</v>
      </c>
      <c r="AR136" s="1"/>
    </row>
    <row r="137" spans="2:44" ht="15.75" x14ac:dyDescent="0.25">
      <c r="B137" s="305"/>
      <c r="C137" s="491" t="str">
        <f>IF(B137&lt;=0,"",VLOOKUP(B137,Treatments!$C$7:$J$407,2))</f>
        <v/>
      </c>
      <c r="D137" s="306"/>
      <c r="E137" s="433">
        <f>VLOOKUP(B137,Treatments!$C$7:$J$407,8)</f>
        <v>0</v>
      </c>
      <c r="F137" s="305"/>
      <c r="G137" s="308"/>
      <c r="H137" s="433">
        <f t="shared" si="69"/>
        <v>0</v>
      </c>
      <c r="I137" s="411">
        <f t="shared" si="74"/>
        <v>0</v>
      </c>
      <c r="L137" s="435"/>
      <c r="M137" s="491" t="str">
        <f>VLOOKUP(L137,Treatments!$C$7:$J$407,2)</f>
        <v>No treatment</v>
      </c>
      <c r="N137" s="492"/>
      <c r="O137" s="433">
        <f>VLOOKUP(L137,Treatments!$C$7:$J$407,8)</f>
        <v>0</v>
      </c>
      <c r="P137" s="435"/>
      <c r="Q137" s="498"/>
      <c r="R137" s="493"/>
      <c r="S137" s="433">
        <f t="shared" si="76"/>
        <v>0</v>
      </c>
      <c r="T137" s="411">
        <f t="shared" si="77"/>
        <v>0</v>
      </c>
      <c r="U137" s="1"/>
      <c r="Y137" s="447">
        <f t="shared" si="75"/>
        <v>0</v>
      </c>
      <c r="Z137" s="491" t="str">
        <f>VLOOKUP(Y137,Treatments!$C$7:$J$407,2)</f>
        <v>No treatment</v>
      </c>
      <c r="AA137" s="495">
        <f t="shared" si="70"/>
        <v>0</v>
      </c>
      <c r="AB137" s="433">
        <f>VLOOKUP(Y137,Treatments!$C$7:$J$407,8)</f>
        <v>0</v>
      </c>
      <c r="AC137" s="495">
        <f t="shared" si="71"/>
        <v>0</v>
      </c>
      <c r="AD137" s="496">
        <f t="shared" si="71"/>
        <v>0</v>
      </c>
      <c r="AE137" s="433">
        <f t="shared" si="72"/>
        <v>0</v>
      </c>
      <c r="AF137" s="411">
        <f t="shared" si="73"/>
        <v>0</v>
      </c>
      <c r="AI137" s="447">
        <f t="shared" si="78"/>
        <v>0</v>
      </c>
      <c r="AJ137" s="491" t="str">
        <f>VLOOKUP(AI137,Treatments!$C$7:$J$407,2)</f>
        <v>No treatment</v>
      </c>
      <c r="AK137" s="495">
        <f t="shared" si="79"/>
        <v>0</v>
      </c>
      <c r="AL137" s="433">
        <f>VLOOKUP(AI137,Treatments!$C$7:$J$407,8)</f>
        <v>0</v>
      </c>
      <c r="AM137" s="495">
        <f t="shared" si="80"/>
        <v>0</v>
      </c>
      <c r="AN137" s="498"/>
      <c r="AO137" s="496">
        <f t="shared" si="81"/>
        <v>0</v>
      </c>
      <c r="AP137" s="433">
        <f t="shared" si="82"/>
        <v>0</v>
      </c>
      <c r="AQ137" s="411">
        <f t="shared" si="83"/>
        <v>0</v>
      </c>
      <c r="AR137" s="1"/>
    </row>
    <row r="138" spans="2:44" ht="15.75" x14ac:dyDescent="0.25">
      <c r="B138" s="305"/>
      <c r="C138" s="491" t="str">
        <f>IF(B138&lt;=0,"",VLOOKUP(B138,Treatments!$C$7:$J$407,2))</f>
        <v/>
      </c>
      <c r="D138" s="306"/>
      <c r="E138" s="433">
        <f>VLOOKUP(B138,Treatments!$C$7:$J$407,8)</f>
        <v>0</v>
      </c>
      <c r="F138" s="305"/>
      <c r="G138" s="308"/>
      <c r="H138" s="433">
        <f t="shared" si="69"/>
        <v>0</v>
      </c>
      <c r="I138" s="411">
        <f t="shared" si="74"/>
        <v>0</v>
      </c>
      <c r="L138" s="1"/>
      <c r="M138" s="14"/>
      <c r="N138" s="13" t="s">
        <v>584</v>
      </c>
      <c r="O138" s="6"/>
      <c r="P138" s="1"/>
      <c r="Q138" s="6"/>
      <c r="R138" s="1"/>
      <c r="S138" s="510">
        <f>SUM(S110:S137)</f>
        <v>0</v>
      </c>
      <c r="T138" s="411">
        <f t="shared" si="77"/>
        <v>0</v>
      </c>
      <c r="U138" s="1"/>
      <c r="Y138" s="447">
        <f t="shared" si="75"/>
        <v>0</v>
      </c>
      <c r="Z138" s="491" t="str">
        <f>VLOOKUP(Y138,Treatments!$C$7:$J$407,2)</f>
        <v>No treatment</v>
      </c>
      <c r="AA138" s="495">
        <f t="shared" si="70"/>
        <v>0</v>
      </c>
      <c r="AB138" s="433">
        <f>VLOOKUP(Y138,Treatments!$C$7:$J$407,8)</f>
        <v>0</v>
      </c>
      <c r="AC138" s="495">
        <f t="shared" si="71"/>
        <v>0</v>
      </c>
      <c r="AD138" s="496">
        <f t="shared" si="71"/>
        <v>0</v>
      </c>
      <c r="AE138" s="433">
        <f t="shared" si="72"/>
        <v>0</v>
      </c>
      <c r="AF138" s="411">
        <f t="shared" si="73"/>
        <v>0</v>
      </c>
      <c r="AI138" s="1"/>
      <c r="AJ138" s="14"/>
      <c r="AK138" s="13" t="s">
        <v>584</v>
      </c>
      <c r="AL138" s="6"/>
      <c r="AM138" s="1"/>
      <c r="AN138" s="6"/>
      <c r="AO138" s="1"/>
      <c r="AP138" s="510">
        <f>SUM(AP110:AP137)</f>
        <v>0</v>
      </c>
      <c r="AQ138" s="510">
        <f>SUM(AQ110:AQ137)</f>
        <v>0</v>
      </c>
      <c r="AR138" s="1"/>
    </row>
    <row r="139" spans="2:44" ht="15.75" x14ac:dyDescent="0.25">
      <c r="B139" s="304"/>
      <c r="C139" s="1"/>
      <c r="D139" s="304"/>
      <c r="E139" s="1"/>
      <c r="F139" s="304"/>
      <c r="G139" s="312"/>
      <c r="H139" s="1"/>
      <c r="I139" s="1"/>
      <c r="L139" s="1"/>
      <c r="M139" s="1"/>
      <c r="N139" s="1"/>
      <c r="O139" s="1"/>
      <c r="P139" s="1"/>
      <c r="Q139" s="1"/>
      <c r="R139" s="1"/>
      <c r="S139" s="1"/>
      <c r="T139" s="1"/>
      <c r="U139" s="1"/>
      <c r="Y139" s="1"/>
      <c r="Z139" s="1"/>
      <c r="AA139" s="6"/>
      <c r="AB139" s="6"/>
      <c r="AC139" s="6"/>
      <c r="AD139" s="6"/>
      <c r="AE139" s="6"/>
      <c r="AF139" s="6"/>
      <c r="AI139" s="1"/>
      <c r="AJ139" s="1"/>
      <c r="AK139" s="1"/>
      <c r="AL139" s="1"/>
      <c r="AM139" s="1"/>
      <c r="AN139" s="1"/>
      <c r="AO139" s="1"/>
      <c r="AP139" s="1"/>
      <c r="AQ139" s="1"/>
      <c r="AR139" s="1"/>
    </row>
    <row r="140" spans="2:44" ht="15.75" x14ac:dyDescent="0.25">
      <c r="B140" s="379" t="s">
        <v>994</v>
      </c>
      <c r="C140" s="502" t="s">
        <v>581</v>
      </c>
      <c r="D140" s="381" t="s">
        <v>616</v>
      </c>
      <c r="E140" s="501" t="s">
        <v>619</v>
      </c>
      <c r="F140" s="382" t="s">
        <v>617</v>
      </c>
      <c r="G140" s="382" t="s">
        <v>618</v>
      </c>
      <c r="H140" s="505"/>
      <c r="I140" s="506"/>
      <c r="L140" s="1"/>
      <c r="M140" s="1"/>
      <c r="N140" s="1"/>
      <c r="O140" s="1"/>
      <c r="P140" s="1"/>
      <c r="Q140" s="1"/>
      <c r="R140" s="1"/>
      <c r="S140" s="511"/>
      <c r="T140" s="512"/>
      <c r="U140" s="1"/>
      <c r="Y140" s="6" t="s">
        <v>994</v>
      </c>
      <c r="Z140" s="5" t="s">
        <v>581</v>
      </c>
      <c r="AA140" s="6" t="s">
        <v>616</v>
      </c>
      <c r="AB140" s="6" t="s">
        <v>619</v>
      </c>
      <c r="AC140" s="6" t="s">
        <v>617</v>
      </c>
      <c r="AD140" s="6" t="s">
        <v>618</v>
      </c>
      <c r="AE140" s="507"/>
      <c r="AF140" s="508"/>
      <c r="AI140" s="1"/>
      <c r="AJ140" s="1"/>
      <c r="AK140" s="1"/>
      <c r="AL140" s="1"/>
      <c r="AM140" s="1"/>
      <c r="AN140" s="1"/>
      <c r="AO140" s="1"/>
      <c r="AP140" s="511"/>
      <c r="AQ140" s="512"/>
      <c r="AR140" s="1"/>
    </row>
    <row r="141" spans="2:44" ht="15.75" x14ac:dyDescent="0.25">
      <c r="B141" s="305"/>
      <c r="C141" s="491" t="str">
        <f>IF(B141&lt;=0,"",VLOOKUP(B141,Treatments!$C$7:$J$407,2))</f>
        <v/>
      </c>
      <c r="D141" s="306"/>
      <c r="E141" s="433">
        <f>VLOOKUP(B141,Treatments!$C$7:$J$407,8)</f>
        <v>0</v>
      </c>
      <c r="F141" s="305"/>
      <c r="G141" s="308"/>
      <c r="H141" s="433">
        <f t="shared" ref="H141:H147" si="84">D141*E141*F141*G141</f>
        <v>0</v>
      </c>
      <c r="I141" s="411">
        <f>H141*$D$9</f>
        <v>0</v>
      </c>
      <c r="L141" s="1"/>
      <c r="N141" s="1"/>
      <c r="O141" s="1"/>
      <c r="P141" s="1"/>
      <c r="Q141" s="1"/>
      <c r="R141" s="12" t="s">
        <v>794</v>
      </c>
      <c r="S141" s="513"/>
      <c r="T141" s="510">
        <f>S141*$D$9</f>
        <v>0</v>
      </c>
      <c r="U141" s="1"/>
      <c r="Y141" s="447">
        <f t="shared" ref="Y141:Y146" si="85">IF(AND(B141&gt;=344,B141&lt;=358),B141+15,B141)</f>
        <v>0</v>
      </c>
      <c r="Z141" s="491" t="str">
        <f>VLOOKUP(Y141,Treatments!$C$7:$J$407,2)</f>
        <v>No treatment</v>
      </c>
      <c r="AA141" s="495">
        <f>D141</f>
        <v>0</v>
      </c>
      <c r="AB141" s="433">
        <f>VLOOKUP(Y141,Treatments!$C$7:$J$407,8)</f>
        <v>0</v>
      </c>
      <c r="AC141" s="495">
        <f>F141</f>
        <v>0</v>
      </c>
      <c r="AD141" s="496">
        <f t="shared" ref="AD141:AD147" si="86">G141</f>
        <v>0</v>
      </c>
      <c r="AE141" s="433">
        <f t="shared" ref="AE141:AE147" si="87">AA141*AB141*AC141*AD141</f>
        <v>0</v>
      </c>
      <c r="AF141" s="411">
        <f t="shared" ref="AF141:AF147" si="88">AE141*$D$9</f>
        <v>0</v>
      </c>
      <c r="AI141" s="1"/>
      <c r="AK141" s="1"/>
      <c r="AL141" s="1"/>
      <c r="AM141" s="1"/>
      <c r="AN141" s="1"/>
      <c r="AO141" s="12" t="s">
        <v>794</v>
      </c>
      <c r="AP141" s="510">
        <f>S141</f>
        <v>0</v>
      </c>
      <c r="AQ141" s="510">
        <f>AP141*$D$9</f>
        <v>0</v>
      </c>
      <c r="AR141" s="1"/>
    </row>
    <row r="142" spans="2:44" ht="15.75" x14ac:dyDescent="0.25">
      <c r="B142" s="305">
        <v>344</v>
      </c>
      <c r="C142" s="491" t="str">
        <f>IF(B142&lt;=0,"",VLOOKUP(B142,Treatments!$C$7:$J$407,2))</f>
        <v>Linkage spray rig</v>
      </c>
      <c r="D142" s="306">
        <v>1</v>
      </c>
      <c r="E142" s="433">
        <f>VLOOKUP(B142,Treatments!$C$7:$J$407,8)</f>
        <v>3.3779411764705882</v>
      </c>
      <c r="F142" s="305">
        <v>1</v>
      </c>
      <c r="G142" s="308">
        <v>1</v>
      </c>
      <c r="H142" s="433">
        <f t="shared" si="84"/>
        <v>3.3779411764705882</v>
      </c>
      <c r="I142" s="411">
        <f t="shared" ref="I142:I147" si="89">H142*$D$9</f>
        <v>337.79411764705884</v>
      </c>
      <c r="L142" s="1"/>
      <c r="M142" s="1"/>
      <c r="N142" s="1"/>
      <c r="O142" s="1"/>
      <c r="P142" s="1"/>
      <c r="Q142" s="12" t="s">
        <v>585</v>
      </c>
      <c r="R142" s="514">
        <v>0.05</v>
      </c>
      <c r="S142" s="510">
        <f>S141+S140+S138</f>
        <v>0</v>
      </c>
      <c r="T142" s="510">
        <f>T141+T140+T138</f>
        <v>0</v>
      </c>
      <c r="U142" s="1"/>
      <c r="Y142" s="447">
        <f t="shared" si="85"/>
        <v>359</v>
      </c>
      <c r="Z142" s="491" t="str">
        <f>VLOOKUP(Y142,Treatments!$C$7:$J$407,2)</f>
        <v>Linkage spray rig</v>
      </c>
      <c r="AA142" s="495">
        <f t="shared" ref="AA142:AA147" si="90">D142</f>
        <v>1</v>
      </c>
      <c r="AB142" s="433">
        <f>VLOOKUP(Y142,Treatments!$C$7:$J$407,8)</f>
        <v>8.01</v>
      </c>
      <c r="AC142" s="495">
        <f t="shared" ref="AC142:AC147" si="91">F142</f>
        <v>1</v>
      </c>
      <c r="AD142" s="496">
        <f t="shared" si="86"/>
        <v>1</v>
      </c>
      <c r="AE142" s="433">
        <f t="shared" si="87"/>
        <v>8.01</v>
      </c>
      <c r="AF142" s="411">
        <f t="shared" si="88"/>
        <v>801</v>
      </c>
      <c r="AI142" s="1"/>
      <c r="AJ142" s="1"/>
      <c r="AK142" s="1"/>
      <c r="AL142" s="1"/>
      <c r="AM142" s="1"/>
      <c r="AN142" s="12" t="s">
        <v>585</v>
      </c>
      <c r="AO142" s="496">
        <f>R142</f>
        <v>0.05</v>
      </c>
      <c r="AP142" s="510">
        <f>AP141+AP140+AP138</f>
        <v>0</v>
      </c>
      <c r="AQ142" s="510">
        <f>AQ141+AQ140+AQ138</f>
        <v>0</v>
      </c>
      <c r="AR142" s="1"/>
    </row>
    <row r="143" spans="2:44" ht="15.75" x14ac:dyDescent="0.25">
      <c r="B143" s="305">
        <v>148</v>
      </c>
      <c r="C143" s="491" t="str">
        <f>IF(B143&lt;=0,"",VLOOKUP(B143,Treatments!$C$7:$J$407,2))</f>
        <v>Gesaprim</v>
      </c>
      <c r="D143" s="306">
        <v>3</v>
      </c>
      <c r="E143" s="433">
        <f>VLOOKUP(B143,Treatments!$C$7:$J$407,8)</f>
        <v>7</v>
      </c>
      <c r="F143" s="305">
        <v>1</v>
      </c>
      <c r="G143" s="308">
        <v>1</v>
      </c>
      <c r="H143" s="433">
        <f t="shared" si="84"/>
        <v>21</v>
      </c>
      <c r="I143" s="411">
        <f t="shared" si="89"/>
        <v>2100</v>
      </c>
      <c r="L143" s="1"/>
      <c r="N143" s="1"/>
      <c r="O143" s="17" t="s">
        <v>586</v>
      </c>
      <c r="P143" s="12" t="s">
        <v>587</v>
      </c>
      <c r="Q143" s="420">
        <v>30</v>
      </c>
      <c r="R143" s="1" t="s">
        <v>588</v>
      </c>
      <c r="S143" s="511">
        <f>PMT(R142,Q143,S142)*-1</f>
        <v>0</v>
      </c>
      <c r="T143" s="1" t="s">
        <v>589</v>
      </c>
      <c r="U143" s="1"/>
      <c r="Y143" s="447">
        <f t="shared" si="85"/>
        <v>148</v>
      </c>
      <c r="Z143" s="491" t="str">
        <f>VLOOKUP(Y143,Treatments!$C$7:$J$407,2)</f>
        <v>Gesaprim</v>
      </c>
      <c r="AA143" s="495">
        <f t="shared" si="90"/>
        <v>3</v>
      </c>
      <c r="AB143" s="433">
        <f>VLOOKUP(Y143,Treatments!$C$7:$J$407,8)</f>
        <v>7</v>
      </c>
      <c r="AC143" s="495">
        <f t="shared" si="91"/>
        <v>1</v>
      </c>
      <c r="AD143" s="496">
        <f t="shared" si="86"/>
        <v>1</v>
      </c>
      <c r="AE143" s="433">
        <f t="shared" si="87"/>
        <v>21</v>
      </c>
      <c r="AF143" s="411">
        <f t="shared" si="88"/>
        <v>2100</v>
      </c>
      <c r="AI143" s="1"/>
      <c r="AK143" s="1"/>
      <c r="AL143" s="17" t="s">
        <v>586</v>
      </c>
      <c r="AM143" s="12" t="s">
        <v>587</v>
      </c>
      <c r="AN143" s="447">
        <f>Q143</f>
        <v>30</v>
      </c>
      <c r="AO143" s="1" t="s">
        <v>588</v>
      </c>
      <c r="AP143" s="511">
        <f>PMT(AO142,AN143,AP142)*-1</f>
        <v>0</v>
      </c>
      <c r="AQ143" s="1" t="s">
        <v>589</v>
      </c>
      <c r="AR143" s="1"/>
    </row>
    <row r="144" spans="2:44" ht="15.75" x14ac:dyDescent="0.25">
      <c r="B144" s="305"/>
      <c r="C144" s="491" t="str">
        <f>IF(B144&lt;=0,"",VLOOKUP(B144,Treatments!$C$7:$J$407,2))</f>
        <v/>
      </c>
      <c r="D144" s="306"/>
      <c r="E144" s="433">
        <f>VLOOKUP(B144,Treatments!$C$7:$J$407,8)</f>
        <v>0</v>
      </c>
      <c r="F144" s="305"/>
      <c r="G144" s="308"/>
      <c r="H144" s="433">
        <f t="shared" si="84"/>
        <v>0</v>
      </c>
      <c r="I144" s="411">
        <f t="shared" si="89"/>
        <v>0</v>
      </c>
      <c r="L144" s="1"/>
      <c r="N144" s="1"/>
      <c r="T144" s="1"/>
      <c r="U144" s="1"/>
      <c r="Y144" s="447">
        <f t="shared" si="85"/>
        <v>0</v>
      </c>
      <c r="Z144" s="491" t="str">
        <f>VLOOKUP(Y144,Treatments!$C$7:$J$407,2)</f>
        <v>No treatment</v>
      </c>
      <c r="AA144" s="495">
        <f t="shared" si="90"/>
        <v>0</v>
      </c>
      <c r="AB144" s="433">
        <f>VLOOKUP(Y144,Treatments!$C$7:$J$407,8)</f>
        <v>0</v>
      </c>
      <c r="AC144" s="495">
        <f t="shared" si="91"/>
        <v>0</v>
      </c>
      <c r="AD144" s="496">
        <f t="shared" si="86"/>
        <v>0</v>
      </c>
      <c r="AE144" s="433">
        <f t="shared" si="87"/>
        <v>0</v>
      </c>
      <c r="AF144" s="411">
        <f t="shared" si="88"/>
        <v>0</v>
      </c>
      <c r="AI144" s="1"/>
      <c r="AJ144" s="1"/>
      <c r="AK144" s="1"/>
      <c r="AL144" s="1"/>
      <c r="AM144" s="1"/>
      <c r="AN144" s="1"/>
      <c r="AO144" s="1"/>
      <c r="AP144" s="1"/>
      <c r="AQ144" s="1"/>
      <c r="AR144" s="1"/>
    </row>
    <row r="145" spans="2:44" ht="15.75" x14ac:dyDescent="0.25">
      <c r="B145" s="305"/>
      <c r="C145" s="491" t="str">
        <f>IF(B145&lt;=0,"",VLOOKUP(B145,Treatments!$C$7:$J$407,2))</f>
        <v/>
      </c>
      <c r="D145" s="306"/>
      <c r="E145" s="433">
        <f>VLOOKUP(B145,Treatments!$C$7:$J$407,8)</f>
        <v>0</v>
      </c>
      <c r="F145" s="305"/>
      <c r="G145" s="308"/>
      <c r="H145" s="433">
        <f t="shared" si="84"/>
        <v>0</v>
      </c>
      <c r="I145" s="411">
        <f t="shared" si="89"/>
        <v>0</v>
      </c>
      <c r="L145" s="1"/>
      <c r="M145" s="1"/>
      <c r="N145" s="1"/>
      <c r="O145" s="1"/>
      <c r="P145" s="1"/>
      <c r="Q145" s="1"/>
      <c r="R145" s="1"/>
      <c r="S145" s="1"/>
      <c r="T145" s="1"/>
      <c r="U145" s="1"/>
      <c r="Y145" s="447">
        <f t="shared" si="85"/>
        <v>0</v>
      </c>
      <c r="Z145" s="491" t="str">
        <f>VLOOKUP(Y145,Treatments!$C$7:$J$407,2)</f>
        <v>No treatment</v>
      </c>
      <c r="AA145" s="495">
        <f t="shared" si="90"/>
        <v>0</v>
      </c>
      <c r="AB145" s="433">
        <f>VLOOKUP(Y145,Treatments!$C$7:$J$407,8)</f>
        <v>0</v>
      </c>
      <c r="AC145" s="495">
        <f t="shared" si="91"/>
        <v>0</v>
      </c>
      <c r="AD145" s="496">
        <f t="shared" si="86"/>
        <v>0</v>
      </c>
      <c r="AE145" s="433">
        <f t="shared" si="87"/>
        <v>0</v>
      </c>
      <c r="AF145" s="411">
        <f t="shared" si="88"/>
        <v>0</v>
      </c>
      <c r="AI145" s="1"/>
      <c r="AJ145" s="1"/>
      <c r="AK145" s="1"/>
      <c r="AL145" s="1"/>
      <c r="AM145" s="1"/>
      <c r="AN145" s="1"/>
      <c r="AO145" s="1"/>
      <c r="AP145" s="1"/>
      <c r="AQ145" s="1"/>
      <c r="AR145" s="1"/>
    </row>
    <row r="146" spans="2:44" ht="15.75" x14ac:dyDescent="0.25">
      <c r="B146" s="305"/>
      <c r="C146" s="491" t="str">
        <f>IF(B146&lt;=0,"",VLOOKUP(B146,Treatments!$C$7:$J$407,2))</f>
        <v/>
      </c>
      <c r="D146" s="306"/>
      <c r="E146" s="433">
        <f>VLOOKUP(B146,Treatments!$C$7:$J$407,8)</f>
        <v>0</v>
      </c>
      <c r="F146" s="305"/>
      <c r="G146" s="308"/>
      <c r="H146" s="433">
        <f t="shared" si="84"/>
        <v>0</v>
      </c>
      <c r="I146" s="411">
        <f t="shared" si="89"/>
        <v>0</v>
      </c>
      <c r="L146" s="1"/>
      <c r="M146" s="1"/>
      <c r="N146" s="1"/>
      <c r="O146" s="1"/>
      <c r="P146" s="1"/>
      <c r="Q146" s="1"/>
      <c r="R146" s="1"/>
      <c r="S146" s="1"/>
      <c r="T146" s="1"/>
      <c r="U146" s="1"/>
      <c r="Y146" s="447">
        <f t="shared" si="85"/>
        <v>0</v>
      </c>
      <c r="Z146" s="491" t="str">
        <f>VLOOKUP(Y146,Treatments!$C$7:$J$407,2)</f>
        <v>No treatment</v>
      </c>
      <c r="AA146" s="495">
        <f t="shared" si="90"/>
        <v>0</v>
      </c>
      <c r="AB146" s="433">
        <f>VLOOKUP(Y146,Treatments!$C$7:$J$407,8)</f>
        <v>0</v>
      </c>
      <c r="AC146" s="495">
        <f t="shared" si="91"/>
        <v>0</v>
      </c>
      <c r="AD146" s="496">
        <f t="shared" si="86"/>
        <v>0</v>
      </c>
      <c r="AE146" s="433">
        <f t="shared" si="87"/>
        <v>0</v>
      </c>
      <c r="AF146" s="411">
        <f t="shared" si="88"/>
        <v>0</v>
      </c>
      <c r="AI146" s="1"/>
      <c r="AJ146" s="1"/>
      <c r="AK146" s="1"/>
      <c r="AL146" s="1"/>
      <c r="AM146" s="1"/>
      <c r="AN146" s="1"/>
      <c r="AO146" s="1"/>
      <c r="AP146" s="1"/>
      <c r="AQ146" s="1"/>
      <c r="AR146" s="1"/>
    </row>
    <row r="147" spans="2:44" ht="15.75" x14ac:dyDescent="0.25">
      <c r="B147" s="1"/>
      <c r="C147" s="1" t="s">
        <v>586</v>
      </c>
      <c r="D147" s="492"/>
      <c r="E147" s="433">
        <f>S143</f>
        <v>0</v>
      </c>
      <c r="F147" s="305"/>
      <c r="G147" s="308"/>
      <c r="H147" s="433">
        <f t="shared" si="84"/>
        <v>0</v>
      </c>
      <c r="I147" s="411">
        <f t="shared" si="89"/>
        <v>0</v>
      </c>
      <c r="L147" s="1"/>
      <c r="M147" s="1"/>
      <c r="N147" s="1"/>
      <c r="O147" s="1"/>
      <c r="P147" s="1"/>
      <c r="Q147" s="1"/>
      <c r="R147" s="1"/>
      <c r="S147" s="1"/>
      <c r="T147" s="1"/>
      <c r="U147" s="1"/>
      <c r="Y147" s="1"/>
      <c r="Z147" s="1" t="s">
        <v>586</v>
      </c>
      <c r="AA147" s="495">
        <f t="shared" si="90"/>
        <v>0</v>
      </c>
      <c r="AB147" s="433">
        <f>AP143</f>
        <v>0</v>
      </c>
      <c r="AC147" s="495">
        <f t="shared" si="91"/>
        <v>0</v>
      </c>
      <c r="AD147" s="496">
        <f t="shared" si="86"/>
        <v>0</v>
      </c>
      <c r="AE147" s="433">
        <f t="shared" si="87"/>
        <v>0</v>
      </c>
      <c r="AF147" s="411">
        <f t="shared" si="88"/>
        <v>0</v>
      </c>
      <c r="AI147" s="1"/>
      <c r="AJ147" s="1"/>
      <c r="AK147" s="1"/>
      <c r="AL147" s="1"/>
      <c r="AM147" s="1"/>
      <c r="AN147" s="1"/>
      <c r="AO147" s="1"/>
      <c r="AP147" s="1"/>
      <c r="AQ147" s="1"/>
      <c r="AR147" s="1"/>
    </row>
    <row r="148" spans="2:44" ht="15.75" x14ac:dyDescent="0.25">
      <c r="B148" s="515"/>
      <c r="C148" s="515"/>
      <c r="D148" s="515"/>
      <c r="E148" s="516"/>
      <c r="F148" s="517" t="s">
        <v>796</v>
      </c>
      <c r="G148" s="515"/>
      <c r="H148" s="510">
        <f>SUM(H110:H147)</f>
        <v>171.85396638655462</v>
      </c>
      <c r="I148" s="510">
        <f>SUM(I110:I147)</f>
        <v>17185.396638655464</v>
      </c>
      <c r="L148" s="1" t="s">
        <v>791</v>
      </c>
      <c r="M148" s="1"/>
      <c r="N148" s="1"/>
      <c r="O148" s="1"/>
      <c r="P148" s="1"/>
      <c r="Q148" s="1"/>
      <c r="R148" s="1"/>
      <c r="S148" s="1"/>
      <c r="T148" s="1"/>
      <c r="U148" s="1"/>
      <c r="Y148" s="515"/>
      <c r="Z148" s="515"/>
      <c r="AA148" s="518"/>
      <c r="AB148" s="516"/>
      <c r="AC148" s="518" t="s">
        <v>796</v>
      </c>
      <c r="AD148" s="518"/>
      <c r="AE148" s="510">
        <f>SUM(AE110:AE147)</f>
        <v>270.39085714285716</v>
      </c>
      <c r="AF148" s="510">
        <f>SUM(AF110:AF147)</f>
        <v>27039.085714285717</v>
      </c>
      <c r="AI148" s="1"/>
      <c r="AJ148" s="1"/>
      <c r="AK148" s="1"/>
      <c r="AL148" s="1"/>
      <c r="AM148" s="1"/>
      <c r="AN148" s="1"/>
      <c r="AO148" s="1"/>
      <c r="AP148" s="1"/>
      <c r="AQ148" s="1"/>
      <c r="AR148" s="1"/>
    </row>
    <row r="149" spans="2:44" x14ac:dyDescent="0.2">
      <c r="B149" s="515"/>
      <c r="D149" s="515"/>
      <c r="E149" s="516"/>
      <c r="F149" s="515"/>
      <c r="G149" s="515"/>
      <c r="H149" s="515"/>
      <c r="L149" s="1" t="s">
        <v>790</v>
      </c>
      <c r="M149" s="1"/>
      <c r="N149" s="1"/>
      <c r="O149" s="1"/>
      <c r="P149" s="1"/>
      <c r="Q149" s="1"/>
      <c r="R149" s="1"/>
      <c r="S149" s="1"/>
      <c r="T149" s="1"/>
      <c r="U149" s="1"/>
    </row>
    <row r="150" spans="2:44" x14ac:dyDescent="0.2">
      <c r="D150" s="515"/>
      <c r="E150" s="516"/>
      <c r="F150" s="515"/>
      <c r="G150" s="515"/>
      <c r="H150" s="515"/>
      <c r="L150" s="1"/>
      <c r="M150" s="1"/>
      <c r="N150" s="1"/>
      <c r="O150" s="1"/>
      <c r="P150" s="1"/>
      <c r="Q150" s="1"/>
      <c r="R150" s="1"/>
      <c r="S150" s="1"/>
      <c r="T150" s="1"/>
      <c r="U150" s="1"/>
    </row>
    <row r="151" spans="2:44" x14ac:dyDescent="0.2">
      <c r="B151"/>
      <c r="C151"/>
      <c r="D151"/>
      <c r="E151" s="516"/>
      <c r="F151" s="515"/>
      <c r="G151" s="515"/>
      <c r="H151" s="515"/>
      <c r="L151" s="1" t="s">
        <v>394</v>
      </c>
      <c r="M151" s="1"/>
      <c r="N151" s="1"/>
      <c r="O151" s="1"/>
      <c r="P151" s="1"/>
      <c r="Q151" s="1"/>
      <c r="R151" s="1"/>
      <c r="S151" s="1"/>
      <c r="T151" s="1"/>
      <c r="U151" s="1"/>
    </row>
    <row r="152" spans="2:44" x14ac:dyDescent="0.2">
      <c r="H152" s="515"/>
      <c r="L152" s="1"/>
      <c r="M152" s="1"/>
      <c r="N152" s="1"/>
      <c r="O152" s="1"/>
      <c r="P152" s="1"/>
      <c r="Q152" s="1"/>
      <c r="R152" s="1"/>
      <c r="S152" s="1"/>
      <c r="T152" s="1"/>
      <c r="U152" s="1"/>
    </row>
    <row r="153" spans="2:44" ht="15.75" x14ac:dyDescent="0.25">
      <c r="B153" s="551" t="s">
        <v>897</v>
      </c>
      <c r="C153" s="552"/>
      <c r="G153" s="551" t="s">
        <v>897</v>
      </c>
      <c r="H153" s="552"/>
      <c r="L153" s="1" t="s">
        <v>793</v>
      </c>
      <c r="M153" s="1"/>
      <c r="N153" s="1"/>
      <c r="O153" s="1"/>
      <c r="P153" s="1"/>
      <c r="Q153" s="1"/>
      <c r="R153" s="1"/>
      <c r="S153" s="1"/>
      <c r="T153" s="1"/>
      <c r="U153" s="1"/>
    </row>
    <row r="154" spans="2:44" ht="15.75" x14ac:dyDescent="0.25">
      <c r="B154" s="553" t="s">
        <v>400</v>
      </c>
      <c r="C154" s="555"/>
      <c r="D154" s="554" t="s">
        <v>993</v>
      </c>
      <c r="E154" s="554" t="s">
        <v>904</v>
      </c>
      <c r="G154" s="553" t="s">
        <v>393</v>
      </c>
      <c r="H154" s="555"/>
      <c r="I154" s="554" t="s">
        <v>993</v>
      </c>
      <c r="J154" s="554" t="s">
        <v>904</v>
      </c>
      <c r="L154" s="1" t="s">
        <v>798</v>
      </c>
      <c r="M154" s="1"/>
      <c r="N154" s="1"/>
      <c r="O154" s="1"/>
      <c r="P154" s="1"/>
      <c r="Q154" s="1"/>
      <c r="R154" s="1"/>
      <c r="S154" s="1"/>
      <c r="T154" s="1"/>
    </row>
    <row r="155" spans="2:44" ht="15.75" x14ac:dyDescent="0.25">
      <c r="B155" s="454" t="s">
        <v>898</v>
      </c>
      <c r="C155" s="519"/>
      <c r="D155" s="455">
        <f>L60</f>
        <v>210426.11199999999</v>
      </c>
      <c r="E155" s="455">
        <f>D155/$D$8</f>
        <v>2104.2611200000001</v>
      </c>
      <c r="F155" s="515"/>
      <c r="G155" s="456" t="s">
        <v>898</v>
      </c>
      <c r="H155" s="456"/>
      <c r="I155" s="457">
        <f t="shared" ref="I155:J160" si="92">D155</f>
        <v>210426.11199999999</v>
      </c>
      <c r="J155" s="457">
        <f t="shared" si="92"/>
        <v>2104.2611200000001</v>
      </c>
      <c r="L155" s="1" t="s">
        <v>799</v>
      </c>
      <c r="M155" s="1"/>
      <c r="N155" s="1"/>
      <c r="O155" s="1"/>
      <c r="P155" s="1"/>
      <c r="Q155" s="1"/>
      <c r="R155" s="1"/>
      <c r="S155" s="1"/>
      <c r="T155" s="1"/>
    </row>
    <row r="156" spans="2:44" ht="15.75" x14ac:dyDescent="0.25">
      <c r="B156" s="458" t="s">
        <v>797</v>
      </c>
      <c r="C156" s="459"/>
      <c r="D156" s="460">
        <f>H22</f>
        <v>178080</v>
      </c>
      <c r="E156" s="460">
        <f t="shared" ref="E156:E162" si="93">D156/$D$8</f>
        <v>1780.8</v>
      </c>
      <c r="F156" s="515"/>
      <c r="G156" s="458" t="s">
        <v>797</v>
      </c>
      <c r="H156" s="458"/>
      <c r="I156" s="460">
        <f t="shared" si="92"/>
        <v>178080</v>
      </c>
      <c r="J156" s="461">
        <f t="shared" si="92"/>
        <v>1780.8</v>
      </c>
      <c r="L156" s="520"/>
    </row>
    <row r="157" spans="2:44" ht="15.75" x14ac:dyDescent="0.25">
      <c r="B157" s="462" t="s">
        <v>399</v>
      </c>
      <c r="C157" s="463"/>
      <c r="D157" s="464">
        <f>H35+J35+L35</f>
        <v>3816.5299999999997</v>
      </c>
      <c r="E157" s="464">
        <f t="shared" si="93"/>
        <v>38.165299999999995</v>
      </c>
      <c r="F157" s="515"/>
      <c r="G157" s="462" t="s">
        <v>899</v>
      </c>
      <c r="H157" s="462"/>
      <c r="I157" s="465">
        <f t="shared" si="92"/>
        <v>3816.5299999999997</v>
      </c>
      <c r="J157" s="466">
        <f t="shared" si="92"/>
        <v>38.165299999999995</v>
      </c>
      <c r="M157" s="520"/>
    </row>
    <row r="158" spans="2:44" ht="15.75" x14ac:dyDescent="0.25">
      <c r="B158" s="467" t="s">
        <v>880</v>
      </c>
      <c r="C158" s="463"/>
      <c r="D158" s="464">
        <f>L75</f>
        <v>8478.9399999999987</v>
      </c>
      <c r="E158" s="464">
        <f t="shared" si="93"/>
        <v>84.789399999999986</v>
      </c>
      <c r="F158" s="515"/>
      <c r="G158" s="467" t="s">
        <v>880</v>
      </c>
      <c r="H158" s="467"/>
      <c r="I158" s="465">
        <f t="shared" si="92"/>
        <v>8478.9399999999987</v>
      </c>
      <c r="J158" s="466">
        <f t="shared" si="92"/>
        <v>84.789399999999986</v>
      </c>
    </row>
    <row r="159" spans="2:44" ht="15.75" x14ac:dyDescent="0.25">
      <c r="B159" s="467" t="s">
        <v>881</v>
      </c>
      <c r="C159" s="463"/>
      <c r="D159" s="464">
        <f>M47</f>
        <v>80.56</v>
      </c>
      <c r="E159" s="464">
        <f t="shared" si="93"/>
        <v>0.80559999999999998</v>
      </c>
      <c r="G159" s="467" t="s">
        <v>881</v>
      </c>
      <c r="H159" s="467"/>
      <c r="I159" s="465">
        <f t="shared" si="92"/>
        <v>80.56</v>
      </c>
      <c r="J159" s="466">
        <f t="shared" si="92"/>
        <v>0.80559999999999998</v>
      </c>
    </row>
    <row r="160" spans="2:44" ht="15.75" x14ac:dyDescent="0.25">
      <c r="B160" s="467" t="s">
        <v>872</v>
      </c>
      <c r="C160" s="463"/>
      <c r="D160" s="464">
        <f>D75+H75</f>
        <v>1060</v>
      </c>
      <c r="E160" s="464">
        <f t="shared" si="93"/>
        <v>10.6</v>
      </c>
      <c r="F160" s="515"/>
      <c r="G160" s="467" t="s">
        <v>872</v>
      </c>
      <c r="H160" s="467"/>
      <c r="I160" s="465">
        <f t="shared" si="92"/>
        <v>1060</v>
      </c>
      <c r="J160" s="466">
        <f t="shared" si="92"/>
        <v>10.6</v>
      </c>
    </row>
    <row r="161" spans="2:13" ht="15.75" x14ac:dyDescent="0.25">
      <c r="B161" s="468" t="s">
        <v>755</v>
      </c>
      <c r="C161" s="469"/>
      <c r="D161" s="470">
        <f>I148</f>
        <v>17185.396638655464</v>
      </c>
      <c r="E161" s="470">
        <f t="shared" si="93"/>
        <v>171.85396638655465</v>
      </c>
      <c r="F161" s="515"/>
      <c r="G161" s="468" t="s">
        <v>754</v>
      </c>
      <c r="H161" s="468"/>
      <c r="I161" s="465">
        <f>AF148</f>
        <v>27039.085714285717</v>
      </c>
      <c r="J161" s="466">
        <f>I161/$D$8</f>
        <v>270.39085714285716</v>
      </c>
    </row>
    <row r="162" spans="2:13" ht="15.75" x14ac:dyDescent="0.25">
      <c r="B162" s="471" t="s">
        <v>900</v>
      </c>
      <c r="C162" s="521"/>
      <c r="D162" s="472">
        <f>SUM(D156:D161)</f>
        <v>208701.42663865545</v>
      </c>
      <c r="E162" s="472">
        <f t="shared" si="93"/>
        <v>2087.0142663865545</v>
      </c>
      <c r="F162" s="515"/>
      <c r="G162" s="471" t="s">
        <v>900</v>
      </c>
      <c r="H162" s="471"/>
      <c r="I162" s="472">
        <f>SUM(I156:I161)</f>
        <v>218555.11571428573</v>
      </c>
      <c r="J162" s="472">
        <f>I162/D8</f>
        <v>2185.5511571428574</v>
      </c>
    </row>
    <row r="163" spans="2:13" x14ac:dyDescent="0.2">
      <c r="B163" s="427"/>
      <c r="C163" s="427"/>
      <c r="D163" s="427"/>
      <c r="E163" s="427"/>
      <c r="G163" s="427"/>
      <c r="H163" s="427"/>
      <c r="I163" s="427"/>
      <c r="J163" s="427"/>
    </row>
    <row r="164" spans="2:13" ht="15.75" x14ac:dyDescent="0.25">
      <c r="B164" s="473" t="s">
        <v>901</v>
      </c>
      <c r="C164" s="522"/>
      <c r="D164" s="474">
        <f>D155-D162</f>
        <v>1724.6853613445419</v>
      </c>
      <c r="E164" s="474">
        <f>D164/D8</f>
        <v>17.24685361344542</v>
      </c>
      <c r="G164" s="473" t="s">
        <v>901</v>
      </c>
      <c r="H164" s="473"/>
      <c r="I164" s="474">
        <f>I155-I162</f>
        <v>-8129.0037142857327</v>
      </c>
      <c r="J164" s="474">
        <f>I164/$D$8</f>
        <v>-81.290037142857329</v>
      </c>
      <c r="K164" s="523"/>
    </row>
    <row r="165" spans="2:13" ht="15.75" x14ac:dyDescent="0.25">
      <c r="B165" s="473" t="s">
        <v>737</v>
      </c>
      <c r="C165" s="475"/>
      <c r="D165" s="474">
        <f>H88</f>
        <v>3171.2876712328766</v>
      </c>
      <c r="E165" s="474">
        <f>D165/D8</f>
        <v>31.712876712328764</v>
      </c>
      <c r="F165" s="515"/>
      <c r="G165" s="473" t="s">
        <v>737</v>
      </c>
      <c r="H165" s="475"/>
      <c r="I165" s="474">
        <f>H88</f>
        <v>3171.2876712328766</v>
      </c>
      <c r="J165" s="515"/>
    </row>
    <row r="166" spans="2:13" ht="15.75" x14ac:dyDescent="0.25">
      <c r="B166" s="473" t="s">
        <v>675</v>
      </c>
      <c r="C166" s="522"/>
      <c r="D166" s="474">
        <f>D164-D165</f>
        <v>-1446.6023098883347</v>
      </c>
      <c r="E166" s="474">
        <f>D166/$D$8</f>
        <v>-14.466023098883348</v>
      </c>
      <c r="F166" s="515"/>
      <c r="G166" s="473" t="s">
        <v>902</v>
      </c>
      <c r="H166" s="473"/>
      <c r="I166" s="474">
        <f>I164-I165</f>
        <v>-11300.291385518609</v>
      </c>
      <c r="J166" s="474">
        <f>I166/$D$8</f>
        <v>-113.00291385518609</v>
      </c>
    </row>
    <row r="167" spans="2:13" ht="15.75" x14ac:dyDescent="0.25">
      <c r="B167" s="473" t="s">
        <v>739</v>
      </c>
      <c r="C167" s="522"/>
      <c r="D167" s="522"/>
      <c r="E167" s="476">
        <f>(E60-F22)/$D$8</f>
        <v>151.58000000000001</v>
      </c>
      <c r="F167" s="515"/>
      <c r="J167" s="515"/>
    </row>
    <row r="168" spans="2:13" x14ac:dyDescent="0.2">
      <c r="F168" s="515"/>
      <c r="J168" s="524"/>
    </row>
    <row r="169" spans="2:13" x14ac:dyDescent="0.2">
      <c r="F169" s="515"/>
      <c r="I169" s="515"/>
      <c r="J169" s="515"/>
    </row>
    <row r="170" spans="2:13" x14ac:dyDescent="0.2">
      <c r="B170" s="1"/>
      <c r="C170" s="1"/>
      <c r="D170" s="1"/>
      <c r="E170" s="524"/>
      <c r="F170" s="515"/>
      <c r="G170" s="1"/>
      <c r="H170" s="1"/>
      <c r="I170" s="1"/>
      <c r="J170" s="524"/>
    </row>
    <row r="171" spans="2:13" x14ac:dyDescent="0.2">
      <c r="G171" s="1"/>
      <c r="H171" s="1"/>
      <c r="I171" s="1"/>
      <c r="J171" s="515"/>
    </row>
    <row r="172" spans="2:13" ht="15.75" thickBot="1" x14ac:dyDescent="0.25">
      <c r="B172" s="1"/>
      <c r="C172" s="1"/>
      <c r="D172" s="1"/>
      <c r="E172" s="524"/>
      <c r="G172" s="1"/>
      <c r="H172" s="1"/>
      <c r="I172" s="1"/>
      <c r="J172" s="524"/>
    </row>
    <row r="173" spans="2:13" ht="16.5" thickBot="1" x14ac:dyDescent="0.3">
      <c r="B173" s="1"/>
      <c r="C173" s="525" t="s">
        <v>667</v>
      </c>
      <c r="D173" s="526" t="s">
        <v>668</v>
      </c>
      <c r="E173" s="1"/>
      <c r="G173" s="527"/>
      <c r="H173" s="528" t="s">
        <v>760</v>
      </c>
      <c r="I173" s="529"/>
      <c r="J173" s="530"/>
      <c r="K173" s="528" t="s">
        <v>761</v>
      </c>
      <c r="L173" s="529"/>
      <c r="M173" s="530"/>
    </row>
    <row r="174" spans="2:13" ht="15.75" x14ac:dyDescent="0.2">
      <c r="B174" s="1"/>
      <c r="C174" s="74" t="s">
        <v>661</v>
      </c>
      <c r="D174" s="495">
        <f>H100</f>
        <v>89.057140565585144</v>
      </c>
      <c r="E174" s="1"/>
      <c r="G174" s="531"/>
      <c r="H174" s="532" t="s">
        <v>762</v>
      </c>
      <c r="I174" s="532" t="s">
        <v>763</v>
      </c>
      <c r="J174" s="532" t="s">
        <v>764</v>
      </c>
      <c r="K174" s="532" t="s">
        <v>765</v>
      </c>
      <c r="L174" s="532" t="s">
        <v>766</v>
      </c>
      <c r="M174" s="532" t="s">
        <v>767</v>
      </c>
    </row>
    <row r="175" spans="2:13" ht="16.5" thickBot="1" x14ac:dyDescent="0.25">
      <c r="C175" s="74" t="s">
        <v>669</v>
      </c>
      <c r="D175" s="435">
        <v>3650</v>
      </c>
      <c r="E175" s="1" t="s">
        <v>803</v>
      </c>
      <c r="G175" s="533" t="s">
        <v>768</v>
      </c>
      <c r="H175" s="534">
        <v>1000</v>
      </c>
      <c r="I175" s="534">
        <v>1000</v>
      </c>
      <c r="J175" s="534">
        <v>1000</v>
      </c>
      <c r="K175" s="534">
        <v>1000</v>
      </c>
      <c r="L175" s="534">
        <v>1000</v>
      </c>
      <c r="M175" s="534">
        <v>1000</v>
      </c>
    </row>
    <row r="176" spans="2:13" ht="16.5" thickBot="1" x14ac:dyDescent="0.25">
      <c r="C176" s="74" t="s">
        <v>670</v>
      </c>
      <c r="D176" s="409">
        <f>D175*D174</f>
        <v>325058.56306438579</v>
      </c>
      <c r="E176" s="1" t="s">
        <v>666</v>
      </c>
      <c r="G176" s="535" t="s">
        <v>769</v>
      </c>
      <c r="H176" s="536">
        <v>0.4</v>
      </c>
      <c r="I176" s="537">
        <v>0.3</v>
      </c>
      <c r="J176" s="538">
        <v>0.4</v>
      </c>
      <c r="K176" s="539">
        <v>0.3</v>
      </c>
      <c r="L176" s="538">
        <v>0.3</v>
      </c>
      <c r="M176" s="540">
        <v>0.3</v>
      </c>
    </row>
    <row r="177" spans="2:14" x14ac:dyDescent="0.2">
      <c r="B177" s="1"/>
      <c r="C177" s="541" t="s">
        <v>671</v>
      </c>
      <c r="D177" s="452">
        <v>0.3</v>
      </c>
      <c r="E177" s="1"/>
      <c r="G177" s="1"/>
      <c r="H177" s="1"/>
      <c r="I177" s="1"/>
      <c r="J177" s="1"/>
      <c r="K177" s="1"/>
      <c r="L177" s="1"/>
      <c r="M177" s="1"/>
    </row>
    <row r="178" spans="2:14" x14ac:dyDescent="0.2">
      <c r="B178" s="1"/>
      <c r="C178" s="541" t="s">
        <v>662</v>
      </c>
      <c r="D178" s="409">
        <f>D176*1/D177</f>
        <v>1083528.5435479528</v>
      </c>
      <c r="E178" s="1" t="s">
        <v>666</v>
      </c>
      <c r="N178" s="1"/>
    </row>
    <row r="179" spans="2:14" x14ac:dyDescent="0.2">
      <c r="B179" s="1"/>
      <c r="C179" s="74" t="s">
        <v>672</v>
      </c>
      <c r="D179" s="409">
        <f>D8</f>
        <v>100</v>
      </c>
      <c r="E179" s="1" t="s">
        <v>1000</v>
      </c>
      <c r="N179" s="1"/>
    </row>
    <row r="180" spans="2:14" x14ac:dyDescent="0.2">
      <c r="B180" s="1"/>
      <c r="C180" s="74" t="s">
        <v>663</v>
      </c>
      <c r="D180" s="409">
        <f>D178/D179</f>
        <v>10835.285435479527</v>
      </c>
      <c r="E180" s="1" t="s">
        <v>802</v>
      </c>
      <c r="N180" s="1"/>
    </row>
    <row r="181" spans="2:14" x14ac:dyDescent="0.2">
      <c r="B181" s="1"/>
      <c r="C181" s="74" t="s">
        <v>664</v>
      </c>
      <c r="D181" s="435">
        <v>1000</v>
      </c>
      <c r="E181" s="1" t="s">
        <v>802</v>
      </c>
      <c r="N181" s="1"/>
    </row>
    <row r="182" spans="2:14" x14ac:dyDescent="0.2">
      <c r="B182" s="1"/>
      <c r="C182" s="74" t="s">
        <v>665</v>
      </c>
      <c r="D182" s="409">
        <f>D181+D180</f>
        <v>11835.285435479527</v>
      </c>
      <c r="E182" s="1" t="s">
        <v>802</v>
      </c>
      <c r="N182" s="1"/>
    </row>
    <row r="183" spans="2:14" x14ac:dyDescent="0.2">
      <c r="B183" s="1"/>
      <c r="C183" s="542"/>
      <c r="D183" s="543"/>
      <c r="E183" s="1"/>
      <c r="N183" s="1"/>
    </row>
    <row r="184" spans="2:14" x14ac:dyDescent="0.2">
      <c r="B184" s="1"/>
      <c r="C184" s="1"/>
      <c r="D184" s="1"/>
      <c r="E184" s="1"/>
      <c r="F184" s="1"/>
      <c r="G184" s="1"/>
      <c r="H184" s="1"/>
      <c r="I184" s="1"/>
      <c r="J184" s="1"/>
      <c r="K184" s="1"/>
      <c r="L184" s="1"/>
      <c r="M184" s="1"/>
      <c r="N184" s="1"/>
    </row>
    <row r="185" spans="2:14" x14ac:dyDescent="0.2">
      <c r="B185" s="1"/>
      <c r="C185" s="1"/>
      <c r="D185" s="1"/>
      <c r="E185" s="1"/>
      <c r="F185" s="1"/>
      <c r="G185" s="1"/>
      <c r="H185" s="1"/>
      <c r="I185" s="1"/>
      <c r="J185" s="1"/>
      <c r="K185" s="1"/>
      <c r="L185" s="1"/>
      <c r="M185" s="1"/>
      <c r="N185" s="1"/>
    </row>
    <row r="186" spans="2:14" x14ac:dyDescent="0.2">
      <c r="B186" s="1"/>
      <c r="C186" s="1"/>
      <c r="D186" s="1"/>
      <c r="E186" s="1"/>
      <c r="F186" s="1"/>
      <c r="G186" s="1"/>
      <c r="H186" s="1"/>
      <c r="I186" s="1"/>
      <c r="J186" s="1"/>
      <c r="K186" s="1"/>
      <c r="L186" s="1"/>
      <c r="M186" s="1"/>
      <c r="N186" s="1"/>
    </row>
    <row r="187" spans="2:14" x14ac:dyDescent="0.2">
      <c r="B187" s="1"/>
      <c r="C187" s="1"/>
      <c r="D187" s="1"/>
      <c r="E187" s="1"/>
      <c r="F187" s="1"/>
      <c r="G187" s="1"/>
      <c r="H187" s="1"/>
      <c r="I187" s="1"/>
      <c r="J187" s="1"/>
      <c r="K187" s="1"/>
      <c r="L187" s="1"/>
      <c r="M187" s="1"/>
      <c r="N187" s="1"/>
    </row>
    <row r="188" spans="2:14" x14ac:dyDescent="0.2">
      <c r="B188" s="1"/>
      <c r="C188" s="1"/>
      <c r="D188" s="1"/>
      <c r="E188" s="1"/>
      <c r="F188" s="1"/>
      <c r="G188" s="1"/>
      <c r="H188" s="1"/>
      <c r="I188" s="1"/>
      <c r="J188" s="1"/>
      <c r="K188" s="1"/>
      <c r="L188" s="1"/>
      <c r="M188" s="1"/>
      <c r="N188" s="1"/>
    </row>
    <row r="189" spans="2:14" x14ac:dyDescent="0.2">
      <c r="B189" s="1"/>
      <c r="C189" s="1"/>
      <c r="D189" s="1"/>
      <c r="E189" s="1"/>
      <c r="F189" s="1"/>
      <c r="G189" s="1"/>
      <c r="H189" s="1"/>
      <c r="I189" s="1"/>
      <c r="J189" s="1"/>
      <c r="K189" s="1"/>
      <c r="L189" s="1"/>
      <c r="M189" s="1"/>
      <c r="N189" s="1"/>
    </row>
    <row r="190" spans="2:14" x14ac:dyDescent="0.2">
      <c r="B190" s="1"/>
      <c r="C190" s="1"/>
      <c r="D190" s="1"/>
      <c r="E190" s="1"/>
      <c r="F190" s="1"/>
      <c r="G190" s="1"/>
      <c r="H190" s="1"/>
      <c r="I190" s="1"/>
      <c r="J190" s="1"/>
      <c r="K190" s="1"/>
      <c r="L190" s="1"/>
      <c r="M190" s="1"/>
      <c r="N190" s="1"/>
    </row>
    <row r="191" spans="2:14" x14ac:dyDescent="0.2">
      <c r="B191" s="1"/>
      <c r="C191" s="1"/>
      <c r="D191" s="1"/>
      <c r="E191" s="1"/>
      <c r="F191" s="1"/>
      <c r="G191" s="1"/>
      <c r="H191" s="1"/>
      <c r="I191" s="1"/>
      <c r="J191" s="1"/>
      <c r="K191" s="1"/>
      <c r="L191" s="1"/>
      <c r="M191" s="1"/>
      <c r="N191" s="1"/>
    </row>
    <row r="192" spans="2:14" x14ac:dyDescent="0.2">
      <c r="B192" s="1"/>
      <c r="C192" s="1"/>
      <c r="D192" s="1"/>
      <c r="E192" s="1"/>
      <c r="F192" s="1"/>
      <c r="G192" s="1"/>
      <c r="H192" s="1"/>
      <c r="I192" s="1"/>
      <c r="J192" s="1"/>
      <c r="K192" s="1"/>
    </row>
    <row r="193" spans="2:11" x14ac:dyDescent="0.2">
      <c r="B193" s="1"/>
      <c r="C193" s="1"/>
      <c r="D193" s="1"/>
      <c r="E193" s="1"/>
      <c r="F193" s="1"/>
      <c r="G193" s="1"/>
      <c r="H193" s="1"/>
      <c r="I193" s="1"/>
      <c r="J193" s="1"/>
      <c r="K193" s="1"/>
    </row>
    <row r="194" spans="2:11" x14ac:dyDescent="0.2">
      <c r="C194" s="1"/>
      <c r="D194" s="1"/>
      <c r="E194" s="1"/>
      <c r="F194" s="1"/>
      <c r="G194" s="1"/>
      <c r="H194" s="1"/>
      <c r="I194" s="1"/>
      <c r="J194" s="1"/>
      <c r="K194" s="1"/>
    </row>
    <row r="195" spans="2:11" x14ac:dyDescent="0.2">
      <c r="E195" s="1"/>
      <c r="F195" s="1"/>
      <c r="G195" s="1"/>
      <c r="H195" s="1"/>
      <c r="I195" s="1"/>
      <c r="J195" s="1"/>
      <c r="K195" s="1"/>
    </row>
    <row r="196" spans="2:11" x14ac:dyDescent="0.2">
      <c r="E196" s="1"/>
      <c r="F196" s="1"/>
      <c r="G196" s="1"/>
      <c r="H196" s="1"/>
      <c r="I196" s="1"/>
      <c r="J196" s="1"/>
      <c r="K196" s="1"/>
    </row>
    <row r="197" spans="2:11" x14ac:dyDescent="0.2">
      <c r="E197" s="1"/>
      <c r="F197" s="1"/>
      <c r="G197" s="1"/>
      <c r="H197" s="1"/>
      <c r="I197" s="1"/>
      <c r="J197" s="1"/>
      <c r="K197" s="1"/>
    </row>
    <row r="198" spans="2:11" x14ac:dyDescent="0.2">
      <c r="E198" s="1"/>
      <c r="F198" s="1"/>
      <c r="G198" s="1"/>
      <c r="H198" s="1"/>
      <c r="I198" s="1"/>
      <c r="J198" s="1"/>
      <c r="K198" s="1"/>
    </row>
    <row r="199" spans="2:11" x14ac:dyDescent="0.2">
      <c r="E199" s="1"/>
      <c r="F199" s="1"/>
      <c r="G199" s="1"/>
      <c r="H199" s="1"/>
      <c r="I199" s="1"/>
      <c r="J199" s="1"/>
      <c r="K199" s="1"/>
    </row>
    <row r="200" spans="2:11" x14ac:dyDescent="0.2">
      <c r="E200" s="1"/>
      <c r="F200" s="1"/>
      <c r="G200" s="1"/>
      <c r="H200" s="1"/>
      <c r="I200" s="1"/>
      <c r="J200" s="1"/>
      <c r="K200" s="1"/>
    </row>
    <row r="201" spans="2:11" x14ac:dyDescent="0.2">
      <c r="E201" s="1"/>
      <c r="F201" s="1"/>
      <c r="G201" s="1"/>
      <c r="H201" s="1"/>
      <c r="I201" s="1"/>
      <c r="J201" s="1"/>
      <c r="K201" s="1"/>
    </row>
    <row r="202" spans="2:11" x14ac:dyDescent="0.2">
      <c r="E202" s="1"/>
      <c r="F202" s="1"/>
      <c r="G202" s="1"/>
      <c r="H202" s="1"/>
      <c r="I202" s="1"/>
      <c r="J202" s="1"/>
      <c r="K202" s="1"/>
    </row>
    <row r="203" spans="2:11" x14ac:dyDescent="0.2">
      <c r="E203" s="1"/>
      <c r="F203" s="1"/>
      <c r="G203" s="1"/>
      <c r="H203" s="1"/>
      <c r="I203" s="1"/>
      <c r="J203" s="1"/>
      <c r="K203" s="1"/>
    </row>
    <row r="204" spans="2:11" x14ac:dyDescent="0.2">
      <c r="E204" s="1"/>
      <c r="F204" s="1"/>
      <c r="G204" s="1"/>
      <c r="H204" s="1"/>
      <c r="I204" s="1"/>
      <c r="J204" s="1"/>
      <c r="K204" s="1"/>
    </row>
    <row r="205" spans="2:11" x14ac:dyDescent="0.2">
      <c r="B205" s="1"/>
      <c r="C205" s="1"/>
      <c r="D205" s="1"/>
      <c r="E205" s="1"/>
      <c r="F205" s="1"/>
      <c r="G205" s="1"/>
      <c r="H205" s="1"/>
      <c r="I205" s="1"/>
      <c r="J205" s="1"/>
      <c r="K205" s="1"/>
    </row>
    <row r="206" spans="2:11" x14ac:dyDescent="0.2">
      <c r="B206" s="1"/>
      <c r="C206" s="1"/>
      <c r="D206" s="1"/>
      <c r="E206" s="1"/>
      <c r="F206" s="1"/>
      <c r="G206" s="1"/>
      <c r="H206" s="1"/>
      <c r="I206" s="1"/>
      <c r="J206" s="1"/>
      <c r="K206" s="1"/>
    </row>
    <row r="207" spans="2:11" x14ac:dyDescent="0.2">
      <c r="B207" s="1"/>
      <c r="C207" s="1"/>
      <c r="D207" s="1"/>
      <c r="E207" s="1"/>
      <c r="F207" s="1"/>
      <c r="G207" s="1"/>
      <c r="H207" s="1"/>
      <c r="I207" s="1"/>
      <c r="J207" s="1"/>
      <c r="K207" s="1"/>
    </row>
    <row r="208" spans="2:11" x14ac:dyDescent="0.2">
      <c r="B208" s="1"/>
      <c r="C208" s="1"/>
      <c r="D208" s="1"/>
      <c r="E208" s="1"/>
      <c r="F208" s="1"/>
      <c r="G208" s="1"/>
      <c r="H208" s="1"/>
      <c r="I208" s="1"/>
      <c r="J208" s="1"/>
      <c r="K208" s="1"/>
    </row>
    <row r="209" spans="2:11" x14ac:dyDescent="0.2">
      <c r="B209" s="1"/>
      <c r="C209" s="1"/>
      <c r="D209" s="1"/>
      <c r="E209" s="1"/>
      <c r="F209" s="1"/>
      <c r="G209" s="1"/>
      <c r="H209" s="1"/>
      <c r="I209" s="1"/>
      <c r="J209" s="1"/>
      <c r="K209" s="1"/>
    </row>
    <row r="210" spans="2:11" x14ac:dyDescent="0.2">
      <c r="B210" s="1"/>
      <c r="C210" s="1"/>
      <c r="D210" s="1"/>
      <c r="E210" s="1"/>
      <c r="F210" s="1"/>
      <c r="G210" s="1"/>
      <c r="H210" s="1"/>
      <c r="I210" s="1"/>
      <c r="J210" s="1"/>
      <c r="K210" s="1"/>
    </row>
    <row r="211" spans="2:11" x14ac:dyDescent="0.2">
      <c r="B211" s="1"/>
      <c r="C211" s="1"/>
      <c r="D211" s="1"/>
      <c r="E211" s="1"/>
      <c r="F211" s="1"/>
      <c r="G211" s="1"/>
      <c r="H211" s="1"/>
      <c r="I211" s="1"/>
      <c r="J211" s="1"/>
      <c r="K211" s="1"/>
    </row>
    <row r="212" spans="2:11" x14ac:dyDescent="0.2">
      <c r="B212" s="1"/>
      <c r="C212" s="1"/>
      <c r="D212" s="1"/>
      <c r="E212" s="1"/>
      <c r="F212" s="1"/>
      <c r="G212" s="1"/>
      <c r="H212" s="1"/>
      <c r="I212" s="1"/>
      <c r="J212" s="1"/>
      <c r="K212" s="1"/>
    </row>
    <row r="213" spans="2:11" x14ac:dyDescent="0.2">
      <c r="B213" s="1"/>
      <c r="C213" s="1"/>
      <c r="D213" s="1"/>
      <c r="E213" s="1"/>
      <c r="F213" s="1"/>
      <c r="G213" s="1"/>
      <c r="H213" s="1"/>
      <c r="I213" s="1"/>
      <c r="J213" s="1"/>
      <c r="K213" s="1"/>
    </row>
    <row r="214" spans="2:11" x14ac:dyDescent="0.2">
      <c r="B214" s="1"/>
      <c r="C214" s="1"/>
      <c r="D214" s="1"/>
      <c r="E214" s="1"/>
      <c r="F214" s="1"/>
      <c r="G214" s="1"/>
      <c r="H214" s="1"/>
      <c r="I214" s="1"/>
      <c r="J214" s="1"/>
      <c r="K214" s="1"/>
    </row>
    <row r="215" spans="2:11" x14ac:dyDescent="0.2">
      <c r="B215" s="1"/>
      <c r="C215" s="1"/>
      <c r="D215" s="1"/>
      <c r="E215" s="1"/>
      <c r="F215" s="1"/>
      <c r="G215" s="1"/>
      <c r="H215" s="1"/>
      <c r="I215" s="1"/>
      <c r="J215" s="1"/>
      <c r="K215" s="1"/>
    </row>
    <row r="216" spans="2:11" x14ac:dyDescent="0.2">
      <c r="B216" s="1"/>
      <c r="C216" s="1"/>
      <c r="D216" s="1"/>
      <c r="E216" s="1"/>
      <c r="F216" s="1"/>
      <c r="G216" s="1"/>
      <c r="H216" s="1"/>
      <c r="I216" s="1"/>
      <c r="J216" s="1"/>
      <c r="K216" s="1"/>
    </row>
    <row r="217" spans="2:11" x14ac:dyDescent="0.2">
      <c r="B217" s="1"/>
      <c r="C217" s="1"/>
      <c r="D217" s="1"/>
      <c r="E217" s="1"/>
      <c r="F217" s="1"/>
      <c r="G217" s="1"/>
      <c r="H217" s="1"/>
      <c r="I217" s="1"/>
      <c r="J217" s="1"/>
      <c r="K217" s="1"/>
    </row>
    <row r="218" spans="2:11" x14ac:dyDescent="0.2">
      <c r="B218" s="1"/>
      <c r="C218" s="1"/>
      <c r="D218" s="1"/>
      <c r="E218" s="1"/>
      <c r="F218" s="1"/>
      <c r="G218" s="1"/>
      <c r="H218" s="1"/>
      <c r="I218" s="1"/>
      <c r="J218" s="1"/>
      <c r="K218" s="1"/>
    </row>
    <row r="219" spans="2:11" x14ac:dyDescent="0.2">
      <c r="B219" s="1"/>
      <c r="C219" s="1"/>
      <c r="D219" s="1"/>
      <c r="E219" s="1"/>
      <c r="F219" s="1"/>
      <c r="G219" s="1"/>
      <c r="H219" s="1"/>
      <c r="I219" s="1"/>
      <c r="J219" s="1"/>
      <c r="K219" s="1"/>
    </row>
    <row r="220" spans="2:11" x14ac:dyDescent="0.2">
      <c r="B220" s="1"/>
      <c r="C220" s="1"/>
      <c r="D220" s="1"/>
      <c r="E220" s="1"/>
      <c r="F220" s="1"/>
      <c r="G220" s="1"/>
      <c r="H220" s="1"/>
      <c r="I220" s="1"/>
      <c r="J220" s="1"/>
      <c r="K220" s="1"/>
    </row>
    <row r="221" spans="2:11" x14ac:dyDescent="0.2">
      <c r="B221" s="1"/>
      <c r="C221" s="1"/>
      <c r="D221" s="1"/>
      <c r="E221" s="1"/>
      <c r="F221" s="1"/>
      <c r="G221" s="1"/>
      <c r="H221" s="1"/>
      <c r="I221" s="1"/>
      <c r="J221" s="1"/>
      <c r="K221" s="1"/>
    </row>
    <row r="222" spans="2:11" x14ac:dyDescent="0.2">
      <c r="B222" s="1"/>
      <c r="C222" s="1"/>
      <c r="D222" s="1"/>
      <c r="E222" s="1"/>
      <c r="F222" s="1"/>
      <c r="G222" s="1"/>
      <c r="H222" s="1"/>
      <c r="I222" s="1"/>
      <c r="J222" s="1"/>
      <c r="K222" s="1"/>
    </row>
    <row r="223" spans="2:11" x14ac:dyDescent="0.2">
      <c r="B223" s="1"/>
      <c r="C223" s="1"/>
      <c r="D223" s="1"/>
      <c r="E223" s="1"/>
      <c r="F223" s="1"/>
      <c r="G223" s="1"/>
      <c r="H223" s="1"/>
      <c r="I223" s="1"/>
      <c r="J223" s="1"/>
      <c r="K223" s="1"/>
    </row>
  </sheetData>
  <mergeCells count="13">
    <mergeCell ref="Q17:R17"/>
    <mergeCell ref="Q12:R12"/>
    <mergeCell ref="Q13:R13"/>
    <mergeCell ref="Q14:R14"/>
    <mergeCell ref="Q15:R15"/>
    <mergeCell ref="Q16:R16"/>
    <mergeCell ref="Q18:R18"/>
    <mergeCell ref="Q19:R19"/>
    <mergeCell ref="Q24:R24"/>
    <mergeCell ref="Q20:R20"/>
    <mergeCell ref="Q21:R21"/>
    <mergeCell ref="Q22:R22"/>
    <mergeCell ref="Q23:R23"/>
  </mergeCells>
  <phoneticPr fontId="15" type="noConversion"/>
  <pageMargins left="0.75" right="0.75" top="1" bottom="1" header="0.5" footer="0.5"/>
  <headerFooter alignWithMargins="0"/>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2:AR223"/>
  <sheetViews>
    <sheetView showGridLines="0" zoomScale="55" workbookViewId="0"/>
  </sheetViews>
  <sheetFormatPr defaultColWidth="8.77734375" defaultRowHeight="15" x14ac:dyDescent="0.2"/>
  <cols>
    <col min="1" max="1" width="14.6640625" style="419" customWidth="1"/>
    <col min="2" max="2" width="15.6640625" style="419" customWidth="1"/>
    <col min="3" max="3" width="31" style="419" customWidth="1"/>
    <col min="4" max="4" width="25.44140625" style="419" bestFit="1" customWidth="1"/>
    <col min="5" max="5" width="27.77734375" style="419" customWidth="1"/>
    <col min="6" max="6" width="30" style="419" customWidth="1"/>
    <col min="7" max="7" width="26.44140625" style="419" customWidth="1"/>
    <col min="8" max="8" width="26.6640625" style="419" customWidth="1"/>
    <col min="9" max="9" width="20.88671875" style="419" bestFit="1" customWidth="1"/>
    <col min="10" max="10" width="23.77734375" style="419" customWidth="1"/>
    <col min="11" max="11" width="21.77734375" style="419" customWidth="1"/>
    <col min="12" max="12" width="21.21875" style="419" customWidth="1"/>
    <col min="13" max="13" width="20.88671875" style="419" customWidth="1"/>
    <col min="14" max="17" width="16.109375" style="419" customWidth="1"/>
    <col min="18" max="18" width="21" style="419" customWidth="1"/>
    <col min="19" max="19" width="16.88671875" style="419" customWidth="1"/>
    <col min="20" max="20" width="19.109375" style="419" customWidth="1"/>
    <col min="21" max="21" width="18.6640625" style="419" customWidth="1"/>
    <col min="22" max="22" width="13.5546875" style="419" customWidth="1"/>
    <col min="23" max="23" width="13" style="419" customWidth="1"/>
    <col min="24" max="24" width="12.109375" style="419" customWidth="1"/>
    <col min="25" max="25" width="40.109375" style="419" bestFit="1" customWidth="1"/>
    <col min="26" max="26" width="25.33203125" style="419" bestFit="1" customWidth="1"/>
    <col min="27" max="27" width="15.88671875" style="422" bestFit="1" customWidth="1"/>
    <col min="28" max="28" width="14" style="422" customWidth="1"/>
    <col min="29" max="29" width="23.33203125" style="422" bestFit="1" customWidth="1"/>
    <col min="30" max="30" width="17.77734375" style="422" customWidth="1"/>
    <col min="31" max="31" width="12.109375" style="422" bestFit="1" customWidth="1"/>
    <col min="32" max="32" width="12.33203125" style="422" customWidth="1"/>
    <col min="33" max="34" width="8.77734375" style="419"/>
    <col min="35" max="35" width="38.109375" style="419" bestFit="1" customWidth="1"/>
    <col min="36" max="36" width="21.44140625" style="419" bestFit="1" customWidth="1"/>
    <col min="37" max="37" width="32.109375" style="419" customWidth="1"/>
    <col min="38" max="38" width="30.88671875" style="419" bestFit="1" customWidth="1"/>
    <col min="39" max="39" width="19" style="419" bestFit="1" customWidth="1"/>
    <col min="40" max="40" width="8.77734375" style="419"/>
    <col min="41" max="41" width="17.6640625" style="419" customWidth="1"/>
    <col min="42" max="42" width="12.109375" style="419" bestFit="1" customWidth="1"/>
    <col min="43" max="43" width="18.44140625" style="419" bestFit="1" customWidth="1"/>
    <col min="44" max="16384" width="8.77734375" style="419"/>
  </cols>
  <sheetData>
    <row r="2" spans="1:28" ht="20.25" x14ac:dyDescent="0.3">
      <c r="B2" s="545" t="s">
        <v>246</v>
      </c>
    </row>
    <row r="3" spans="1:28" ht="15.75" x14ac:dyDescent="0.25">
      <c r="A3" s="446"/>
    </row>
    <row r="4" spans="1:28" ht="13.5" customHeight="1" x14ac:dyDescent="0.25">
      <c r="A4" s="446"/>
    </row>
    <row r="5" spans="1:28" ht="15.75" x14ac:dyDescent="0.25">
      <c r="B5" s="446" t="s">
        <v>800</v>
      </c>
      <c r="C5" s="416" t="str">
        <f>'Gross margin summary'!I15</f>
        <v>Oats</v>
      </c>
      <c r="D5" s="417"/>
      <c r="E5" s="446"/>
    </row>
    <row r="7" spans="1:28" ht="18" customHeight="1" x14ac:dyDescent="0.2">
      <c r="A7" s="1"/>
      <c r="B7" s="1"/>
      <c r="C7" s="1"/>
      <c r="D7" s="1"/>
      <c r="E7" s="1"/>
      <c r="F7" s="1"/>
      <c r="G7" s="1"/>
      <c r="H7" s="1"/>
      <c r="I7" s="1"/>
      <c r="J7" s="1"/>
      <c r="K7" s="1"/>
      <c r="L7" s="1"/>
      <c r="M7" s="1"/>
      <c r="N7" s="1"/>
      <c r="O7" s="1"/>
      <c r="P7" s="1"/>
      <c r="Q7" s="1"/>
      <c r="R7" s="1"/>
      <c r="S7" s="1"/>
      <c r="T7" s="1"/>
      <c r="U7" s="1"/>
      <c r="V7" s="1"/>
      <c r="W7" s="1"/>
      <c r="X7" s="1"/>
      <c r="Y7" s="1"/>
      <c r="Z7" s="1"/>
      <c r="AA7" s="6"/>
    </row>
    <row r="8" spans="1:28" ht="18" customHeight="1" x14ac:dyDescent="0.2">
      <c r="A8" s="1"/>
      <c r="B8" s="1"/>
      <c r="C8" s="12" t="s">
        <v>689</v>
      </c>
      <c r="D8" s="546">
        <v>100</v>
      </c>
      <c r="E8" s="1" t="s">
        <v>1000</v>
      </c>
      <c r="L8" s="1"/>
      <c r="M8" s="1"/>
      <c r="O8" s="1"/>
      <c r="P8" s="1"/>
      <c r="Q8" s="1"/>
      <c r="R8" s="1"/>
      <c r="S8" s="1"/>
      <c r="T8" s="1"/>
      <c r="U8" s="1"/>
      <c r="V8" s="1"/>
      <c r="W8" s="1"/>
      <c r="X8" s="1"/>
      <c r="Y8" s="1"/>
      <c r="Z8" s="1"/>
      <c r="AA8" s="6"/>
    </row>
    <row r="9" spans="1:28" ht="18" customHeight="1" x14ac:dyDescent="0.2">
      <c r="A9" s="1"/>
      <c r="B9" s="1"/>
      <c r="C9" s="12" t="s">
        <v>373</v>
      </c>
      <c r="D9" s="546">
        <v>90</v>
      </c>
      <c r="E9" s="419" t="s">
        <v>1000</v>
      </c>
      <c r="F9" s="12"/>
      <c r="G9"/>
      <c r="H9"/>
      <c r="I9"/>
      <c r="J9"/>
      <c r="K9"/>
      <c r="L9" s="1"/>
      <c r="M9" s="1"/>
      <c r="O9" s="1"/>
      <c r="P9" s="1"/>
      <c r="Q9" s="443" t="s">
        <v>645</v>
      </c>
      <c r="R9" s="443"/>
      <c r="S9" s="443"/>
      <c r="T9" s="1"/>
      <c r="U9" s="1"/>
      <c r="V9" s="1"/>
      <c r="W9" s="1"/>
      <c r="X9" s="1"/>
      <c r="Y9" s="1"/>
      <c r="Z9" s="1"/>
      <c r="AA9" s="6"/>
    </row>
    <row r="10" spans="1:28" ht="18" customHeight="1" x14ac:dyDescent="0.2">
      <c r="A10" s="1"/>
      <c r="B10" s="1"/>
      <c r="C10" s="12" t="s">
        <v>690</v>
      </c>
      <c r="D10" s="421">
        <f>IF(D9&lt;=0,0,D9/D8)</f>
        <v>0.9</v>
      </c>
      <c r="F10" s="12"/>
      <c r="G10"/>
      <c r="H10"/>
      <c r="I10"/>
      <c r="J10"/>
      <c r="K10"/>
      <c r="L10" s="1"/>
      <c r="M10" s="1"/>
      <c r="O10" s="1"/>
      <c r="P10" s="1"/>
      <c r="Q10" s="1"/>
      <c r="R10" s="1"/>
      <c r="S10" s="1"/>
      <c r="T10" s="1"/>
      <c r="U10" s="1"/>
      <c r="V10" s="1"/>
      <c r="W10" s="1"/>
      <c r="X10" s="1"/>
      <c r="Y10" s="1"/>
      <c r="Z10" s="1"/>
      <c r="AA10" s="6"/>
    </row>
    <row r="11" spans="1:28" ht="18" customHeight="1" x14ac:dyDescent="0.25">
      <c r="A11" s="1"/>
      <c r="B11" s="1"/>
      <c r="C11" s="12"/>
      <c r="D11"/>
      <c r="E11" s="1"/>
      <c r="F11" s="12"/>
      <c r="G11"/>
      <c r="H11"/>
      <c r="I11"/>
      <c r="J11"/>
      <c r="K11"/>
      <c r="L11" s="1"/>
      <c r="M11" s="1"/>
      <c r="O11" s="1"/>
      <c r="P11" s="1"/>
      <c r="R11" s="544"/>
      <c r="S11" s="477" t="s">
        <v>698</v>
      </c>
      <c r="T11" s="477" t="s">
        <v>699</v>
      </c>
      <c r="U11" s="477" t="s">
        <v>700</v>
      </c>
      <c r="V11" s="477" t="s">
        <v>701</v>
      </c>
      <c r="W11" s="477" t="s">
        <v>702</v>
      </c>
      <c r="X11" s="477" t="s">
        <v>703</v>
      </c>
      <c r="Y11" s="1"/>
      <c r="Z11" s="424" t="s">
        <v>857</v>
      </c>
      <c r="AA11" s="425"/>
      <c r="AB11" s="6"/>
    </row>
    <row r="12" spans="1:28" ht="18" customHeight="1" x14ac:dyDescent="0.2">
      <c r="A12" s="1"/>
      <c r="B12" s="1"/>
      <c r="C12" s="1"/>
      <c r="D12" s="1"/>
      <c r="E12" s="1"/>
      <c r="F12" s="1"/>
      <c r="G12" s="1"/>
      <c r="H12" s="1"/>
      <c r="I12" s="1"/>
      <c r="J12" s="1"/>
      <c r="K12" s="1"/>
      <c r="L12" s="1"/>
      <c r="M12" s="423"/>
      <c r="N12" s="1"/>
      <c r="O12" s="1"/>
      <c r="P12" s="1"/>
      <c r="Q12" s="583" t="s">
        <v>646</v>
      </c>
      <c r="R12" s="584"/>
      <c r="S12" s="429">
        <f>F16</f>
        <v>497</v>
      </c>
      <c r="T12" s="429">
        <f>F17</f>
        <v>0</v>
      </c>
      <c r="U12" s="429">
        <f>F18</f>
        <v>0</v>
      </c>
      <c r="V12" s="429">
        <f>F19</f>
        <v>0</v>
      </c>
      <c r="W12" s="429">
        <f>F20</f>
        <v>0</v>
      </c>
      <c r="X12" s="429">
        <f>F21</f>
        <v>0</v>
      </c>
      <c r="Z12" s="427" t="s">
        <v>858</v>
      </c>
      <c r="AA12" s="427"/>
      <c r="AB12" s="6"/>
    </row>
    <row r="13" spans="1:28" ht="18" customHeight="1" x14ac:dyDescent="0.25">
      <c r="A13" s="1"/>
      <c r="B13" s="5" t="s">
        <v>691</v>
      </c>
      <c r="C13" s="1"/>
      <c r="D13" s="426" t="s">
        <v>376</v>
      </c>
      <c r="E13" s="426"/>
      <c r="F13" s="426"/>
      <c r="G13" s="426"/>
      <c r="H13" s="1"/>
      <c r="I13" s="1"/>
      <c r="J13" s="1"/>
      <c r="K13" s="1"/>
      <c r="L13" s="1"/>
      <c r="M13" s="1"/>
      <c r="N13" s="1"/>
      <c r="O13" s="1"/>
      <c r="P13" s="1"/>
      <c r="Q13" s="583" t="s">
        <v>647</v>
      </c>
      <c r="R13" s="584"/>
      <c r="S13" s="478">
        <v>0</v>
      </c>
      <c r="T13" s="478">
        <v>0</v>
      </c>
      <c r="U13" s="478">
        <v>0</v>
      </c>
      <c r="V13" s="478">
        <v>0</v>
      </c>
      <c r="W13" s="478">
        <v>0</v>
      </c>
      <c r="X13" s="478">
        <v>0</v>
      </c>
      <c r="Z13" s="428" t="s">
        <v>859</v>
      </c>
      <c r="AA13" s="419"/>
      <c r="AB13" s="6"/>
    </row>
    <row r="14" spans="1:28" ht="18" customHeight="1" x14ac:dyDescent="0.25">
      <c r="A14" s="1"/>
      <c r="B14" s="1"/>
      <c r="C14" s="1"/>
      <c r="D14" s="1"/>
      <c r="E14" s="1"/>
      <c r="F14" s="1"/>
      <c r="G14" s="1"/>
      <c r="H14" s="1"/>
      <c r="I14" s="1"/>
      <c r="J14" s="1"/>
      <c r="K14" s="1"/>
      <c r="L14" s="1"/>
      <c r="M14" s="1"/>
      <c r="N14" s="1"/>
      <c r="O14" s="1"/>
      <c r="P14" s="1"/>
      <c r="Q14" s="583" t="s">
        <v>648</v>
      </c>
      <c r="R14" s="584"/>
      <c r="S14" s="409">
        <f t="shared" ref="S14:X14" si="0">S12*(1-S13)</f>
        <v>497</v>
      </c>
      <c r="T14" s="409">
        <f t="shared" si="0"/>
        <v>0</v>
      </c>
      <c r="U14" s="409">
        <f t="shared" si="0"/>
        <v>0</v>
      </c>
      <c r="V14" s="409">
        <f t="shared" si="0"/>
        <v>0</v>
      </c>
      <c r="W14" s="409">
        <f t="shared" si="0"/>
        <v>0</v>
      </c>
      <c r="X14" s="409">
        <f t="shared" si="0"/>
        <v>0</v>
      </c>
      <c r="Z14" s="430" t="s">
        <v>492</v>
      </c>
      <c r="AA14" s="430" t="s">
        <v>493</v>
      </c>
      <c r="AB14" s="6"/>
    </row>
    <row r="15" spans="1:28" ht="30.75" x14ac:dyDescent="0.25">
      <c r="A15" s="1"/>
      <c r="B15" s="1"/>
      <c r="C15" s="407" t="s">
        <v>377</v>
      </c>
      <c r="D15" s="407" t="s">
        <v>692</v>
      </c>
      <c r="E15" s="407" t="s">
        <v>391</v>
      </c>
      <c r="F15" s="407" t="s">
        <v>693</v>
      </c>
      <c r="G15" s="407" t="s">
        <v>694</v>
      </c>
      <c r="H15" s="407" t="s">
        <v>695</v>
      </c>
      <c r="I15" s="407" t="s">
        <v>559</v>
      </c>
      <c r="J15" s="407" t="s">
        <v>560</v>
      </c>
      <c r="K15" s="407" t="s">
        <v>696</v>
      </c>
      <c r="L15" s="407" t="s">
        <v>697</v>
      </c>
      <c r="M15"/>
      <c r="N15"/>
      <c r="Q15" s="583" t="s">
        <v>682</v>
      </c>
      <c r="R15" s="584"/>
      <c r="S15" s="445"/>
      <c r="T15" s="445"/>
      <c r="U15" s="445"/>
      <c r="V15" s="445"/>
      <c r="W15" s="445"/>
      <c r="X15" s="445"/>
      <c r="Z15" s="434" t="s">
        <v>494</v>
      </c>
      <c r="AA15" s="434" t="s">
        <v>495</v>
      </c>
      <c r="AB15" s="6"/>
    </row>
    <row r="16" spans="1:28" ht="18" customHeight="1" x14ac:dyDescent="0.2">
      <c r="A16" s="1"/>
      <c r="B16" s="1" t="s">
        <v>698</v>
      </c>
      <c r="C16" s="431">
        <v>41791</v>
      </c>
      <c r="D16" s="558">
        <v>198.8</v>
      </c>
      <c r="E16" s="480">
        <v>1.6</v>
      </c>
      <c r="F16" s="432">
        <v>497</v>
      </c>
      <c r="G16" s="433">
        <f t="shared" ref="G16:G21" si="1">F16*E16</f>
        <v>795.2</v>
      </c>
      <c r="H16" s="411">
        <f t="shared" ref="H16:H21" si="2">G16*D16</f>
        <v>158085.76000000001</v>
      </c>
      <c r="I16" s="413">
        <f t="shared" ref="I16:I21" si="3">D16/$D$8</f>
        <v>1.9880000000000002</v>
      </c>
      <c r="J16" s="413">
        <f t="shared" ref="J16:J21" si="4">IF(D16&lt;=0,0,$D$8/D16)</f>
        <v>0.50301810865191143</v>
      </c>
      <c r="K16" s="413">
        <f t="shared" ref="K16:K21" si="5">D16/$D$9</f>
        <v>2.2088888888888891</v>
      </c>
      <c r="L16" s="413">
        <f t="shared" ref="L16:L21" si="6">IF(D16&lt;=0,0,$D$9/D16)</f>
        <v>0.45271629778672029</v>
      </c>
      <c r="M16"/>
      <c r="N16"/>
      <c r="Q16" s="583" t="s">
        <v>683</v>
      </c>
      <c r="R16" s="584"/>
      <c r="S16" s="433">
        <f t="shared" ref="S16:X16" si="7">S15*S14</f>
        <v>0</v>
      </c>
      <c r="T16" s="433">
        <f t="shared" si="7"/>
        <v>0</v>
      </c>
      <c r="U16" s="433">
        <f t="shared" si="7"/>
        <v>0</v>
      </c>
      <c r="V16" s="433">
        <f t="shared" si="7"/>
        <v>0</v>
      </c>
      <c r="W16" s="433">
        <f t="shared" si="7"/>
        <v>0</v>
      </c>
      <c r="X16" s="433">
        <f t="shared" si="7"/>
        <v>0</v>
      </c>
      <c r="Z16" s="437">
        <v>250</v>
      </c>
      <c r="AA16" s="437">
        <v>38</v>
      </c>
      <c r="AB16" s="6"/>
    </row>
    <row r="17" spans="1:28" ht="18" customHeight="1" x14ac:dyDescent="0.2">
      <c r="A17" s="1"/>
      <c r="B17" s="1" t="s">
        <v>699</v>
      </c>
      <c r="C17" s="431"/>
      <c r="D17" s="435"/>
      <c r="E17" s="436"/>
      <c r="F17" s="432"/>
      <c r="G17" s="433">
        <f t="shared" si="1"/>
        <v>0</v>
      </c>
      <c r="H17" s="411">
        <f t="shared" si="2"/>
        <v>0</v>
      </c>
      <c r="I17" s="413">
        <f t="shared" si="3"/>
        <v>0</v>
      </c>
      <c r="J17" s="413">
        <f t="shared" si="4"/>
        <v>0</v>
      </c>
      <c r="K17" s="413">
        <f t="shared" si="5"/>
        <v>0</v>
      </c>
      <c r="L17" s="413">
        <f t="shared" si="6"/>
        <v>0</v>
      </c>
      <c r="M17"/>
      <c r="N17"/>
      <c r="Q17" s="583" t="s">
        <v>651</v>
      </c>
      <c r="R17" s="584"/>
      <c r="S17" s="478">
        <v>3.5000000000000003E-2</v>
      </c>
      <c r="T17" s="478"/>
      <c r="U17" s="478"/>
      <c r="V17" s="478"/>
      <c r="W17" s="478"/>
      <c r="X17" s="478"/>
      <c r="Z17" s="438">
        <v>300</v>
      </c>
      <c r="AA17" s="438">
        <v>34</v>
      </c>
      <c r="AB17" s="6"/>
    </row>
    <row r="18" spans="1:28" ht="18" customHeight="1" x14ac:dyDescent="0.2">
      <c r="A18" s="1"/>
      <c r="B18" s="1" t="s">
        <v>700</v>
      </c>
      <c r="C18" s="431"/>
      <c r="D18" s="435"/>
      <c r="E18" s="436"/>
      <c r="F18" s="432"/>
      <c r="G18" s="433">
        <f t="shared" si="1"/>
        <v>0</v>
      </c>
      <c r="H18" s="411">
        <f t="shared" si="2"/>
        <v>0</v>
      </c>
      <c r="I18" s="413">
        <f t="shared" si="3"/>
        <v>0</v>
      </c>
      <c r="J18" s="413">
        <f t="shared" si="4"/>
        <v>0</v>
      </c>
      <c r="K18" s="413">
        <f t="shared" si="5"/>
        <v>0</v>
      </c>
      <c r="L18" s="413">
        <f t="shared" si="6"/>
        <v>0</v>
      </c>
      <c r="Q18" s="583" t="s">
        <v>684</v>
      </c>
      <c r="R18" s="584"/>
      <c r="S18" s="433">
        <f t="shared" ref="S18:X18" si="8">S17*S16</f>
        <v>0</v>
      </c>
      <c r="T18" s="433">
        <f t="shared" si="8"/>
        <v>0</v>
      </c>
      <c r="U18" s="433">
        <f t="shared" si="8"/>
        <v>0</v>
      </c>
      <c r="V18" s="433">
        <f t="shared" si="8"/>
        <v>0</v>
      </c>
      <c r="W18" s="433">
        <f t="shared" si="8"/>
        <v>0</v>
      </c>
      <c r="X18" s="433">
        <f t="shared" si="8"/>
        <v>0</v>
      </c>
      <c r="Z18" s="438">
        <v>350</v>
      </c>
      <c r="AA18" s="438">
        <v>30</v>
      </c>
      <c r="AB18" s="6"/>
    </row>
    <row r="19" spans="1:28" ht="18" customHeight="1" x14ac:dyDescent="0.2">
      <c r="A19" s="1"/>
      <c r="B19" s="1" t="s">
        <v>701</v>
      </c>
      <c r="C19" s="431"/>
      <c r="D19" s="435"/>
      <c r="E19" s="436"/>
      <c r="F19" s="432"/>
      <c r="G19" s="433">
        <f t="shared" si="1"/>
        <v>0</v>
      </c>
      <c r="H19" s="411">
        <f t="shared" si="2"/>
        <v>0</v>
      </c>
      <c r="I19" s="413">
        <f t="shared" si="3"/>
        <v>0</v>
      </c>
      <c r="J19" s="413">
        <f t="shared" si="4"/>
        <v>0</v>
      </c>
      <c r="K19" s="413">
        <f t="shared" si="5"/>
        <v>0</v>
      </c>
      <c r="L19" s="413">
        <f t="shared" si="6"/>
        <v>0</v>
      </c>
      <c r="Q19" s="583" t="s">
        <v>653</v>
      </c>
      <c r="R19" s="584"/>
      <c r="S19" s="445"/>
      <c r="T19" s="445"/>
      <c r="U19" s="445"/>
      <c r="V19" s="445"/>
      <c r="W19" s="445"/>
      <c r="X19" s="445"/>
      <c r="Z19" s="438">
        <v>400</v>
      </c>
      <c r="AA19" s="438">
        <v>28</v>
      </c>
      <c r="AB19" s="6"/>
    </row>
    <row r="20" spans="1:28" ht="18" customHeight="1" x14ac:dyDescent="0.2">
      <c r="A20" s="1"/>
      <c r="B20" s="1" t="s">
        <v>702</v>
      </c>
      <c r="C20" s="431"/>
      <c r="D20" s="435"/>
      <c r="E20" s="436"/>
      <c r="F20" s="432"/>
      <c r="G20" s="433">
        <f t="shared" si="1"/>
        <v>0</v>
      </c>
      <c r="H20" s="411">
        <f t="shared" si="2"/>
        <v>0</v>
      </c>
      <c r="I20" s="413">
        <f t="shared" si="3"/>
        <v>0</v>
      </c>
      <c r="J20" s="413">
        <f t="shared" si="4"/>
        <v>0</v>
      </c>
      <c r="K20" s="413">
        <f t="shared" si="5"/>
        <v>0</v>
      </c>
      <c r="L20" s="413">
        <f t="shared" si="6"/>
        <v>0</v>
      </c>
      <c r="Q20" s="583" t="s">
        <v>685</v>
      </c>
      <c r="R20" s="584"/>
      <c r="S20" s="445"/>
      <c r="T20" s="445"/>
      <c r="U20" s="445"/>
      <c r="V20" s="445"/>
      <c r="W20" s="445"/>
      <c r="X20" s="445"/>
      <c r="Z20" s="438">
        <v>450</v>
      </c>
      <c r="AA20" s="438">
        <v>26</v>
      </c>
      <c r="AB20" s="6"/>
    </row>
    <row r="21" spans="1:28" ht="18" customHeight="1" x14ac:dyDescent="0.2">
      <c r="A21" s="1"/>
      <c r="B21" s="1" t="s">
        <v>703</v>
      </c>
      <c r="C21" s="431"/>
      <c r="D21" s="435"/>
      <c r="E21" s="436"/>
      <c r="F21" s="432"/>
      <c r="G21" s="433">
        <f t="shared" si="1"/>
        <v>0</v>
      </c>
      <c r="H21" s="411">
        <f t="shared" si="2"/>
        <v>0</v>
      </c>
      <c r="I21" s="413">
        <f t="shared" si="3"/>
        <v>0</v>
      </c>
      <c r="J21" s="413">
        <f t="shared" si="4"/>
        <v>0</v>
      </c>
      <c r="K21" s="413">
        <f t="shared" si="5"/>
        <v>0</v>
      </c>
      <c r="L21" s="413">
        <f t="shared" si="6"/>
        <v>0</v>
      </c>
      <c r="Q21" s="583" t="s">
        <v>655</v>
      </c>
      <c r="R21" s="584"/>
      <c r="S21" s="433">
        <f t="shared" ref="S21:X21" si="9">S16-S18-S19-S20</f>
        <v>0</v>
      </c>
      <c r="T21" s="433">
        <f t="shared" si="9"/>
        <v>0</v>
      </c>
      <c r="U21" s="433">
        <f t="shared" si="9"/>
        <v>0</v>
      </c>
      <c r="V21" s="433">
        <f t="shared" si="9"/>
        <v>0</v>
      </c>
      <c r="W21" s="433">
        <f t="shared" si="9"/>
        <v>0</v>
      </c>
      <c r="X21" s="433">
        <f t="shared" si="9"/>
        <v>0</v>
      </c>
      <c r="Z21" s="438">
        <v>500</v>
      </c>
      <c r="AA21" s="438">
        <v>24</v>
      </c>
      <c r="AB21" s="6"/>
    </row>
    <row r="22" spans="1:28" ht="18" customHeight="1" thickBot="1" x14ac:dyDescent="0.25">
      <c r="A22" s="1"/>
      <c r="B22" s="1"/>
      <c r="C22" s="1"/>
      <c r="D22" s="1"/>
      <c r="E22" s="1"/>
      <c r="F22" s="439">
        <f>SUMPRODUCT(D16:D21,F16:F21)</f>
        <v>98803.6</v>
      </c>
      <c r="G22" s="1"/>
      <c r="H22" s="440">
        <f>SUM(H16:H21)</f>
        <v>158085.76000000001</v>
      </c>
      <c r="I22" s="1"/>
      <c r="J22" s="1"/>
      <c r="K22" s="1"/>
      <c r="L22" s="1"/>
      <c r="Q22" s="583" t="s">
        <v>656</v>
      </c>
      <c r="R22" s="584"/>
      <c r="S22" s="409">
        <f t="shared" ref="S22:X22" si="10">S12</f>
        <v>497</v>
      </c>
      <c r="T22" s="409">
        <f t="shared" si="10"/>
        <v>0</v>
      </c>
      <c r="U22" s="409">
        <f t="shared" si="10"/>
        <v>0</v>
      </c>
      <c r="V22" s="409">
        <f t="shared" si="10"/>
        <v>0</v>
      </c>
      <c r="W22" s="409">
        <f t="shared" si="10"/>
        <v>0</v>
      </c>
      <c r="X22" s="409">
        <f t="shared" si="10"/>
        <v>0</v>
      </c>
      <c r="Z22" s="438">
        <v>550</v>
      </c>
      <c r="AA22" s="438">
        <v>22</v>
      </c>
      <c r="AB22" s="6"/>
    </row>
    <row r="23" spans="1:28" ht="18" customHeight="1" thickTop="1" x14ac:dyDescent="0.2">
      <c r="A23" s="1"/>
      <c r="B23" s="1"/>
      <c r="C23" s="1"/>
      <c r="D23" s="1"/>
      <c r="E23" s="1"/>
      <c r="F23" s="1"/>
      <c r="G23" s="1"/>
      <c r="H23" s="1"/>
      <c r="I23" s="1"/>
      <c r="J23" s="1"/>
      <c r="K23" s="1"/>
      <c r="L23" s="1"/>
      <c r="M23" s="1"/>
      <c r="N23" s="1"/>
      <c r="O23" s="1"/>
      <c r="P23" s="1"/>
      <c r="Q23" s="583" t="s">
        <v>686</v>
      </c>
      <c r="R23" s="584"/>
      <c r="S23" s="433">
        <f t="shared" ref="S23:X23" si="11">IF(S14&gt;0,(S18+S19+S20)/S14,0)</f>
        <v>0</v>
      </c>
      <c r="T23" s="433">
        <f t="shared" si="11"/>
        <v>0</v>
      </c>
      <c r="U23" s="433">
        <f t="shared" si="11"/>
        <v>0</v>
      </c>
      <c r="V23" s="433">
        <f t="shared" si="11"/>
        <v>0</v>
      </c>
      <c r="W23" s="433">
        <f t="shared" si="11"/>
        <v>0</v>
      </c>
      <c r="X23" s="433">
        <f t="shared" si="11"/>
        <v>0</v>
      </c>
      <c r="Z23" s="438">
        <v>600</v>
      </c>
      <c r="AA23" s="438">
        <v>20</v>
      </c>
      <c r="AB23" s="6"/>
    </row>
    <row r="24" spans="1:28" ht="18" customHeight="1" x14ac:dyDescent="0.2">
      <c r="A24" s="1"/>
      <c r="C24" s="1"/>
      <c r="D24" s="1"/>
      <c r="E24" s="1"/>
      <c r="F24" s="1"/>
      <c r="G24" s="1"/>
      <c r="H24" s="1"/>
      <c r="I24" s="1"/>
      <c r="J24" s="1"/>
      <c r="K24" s="1"/>
      <c r="L24" s="1"/>
      <c r="M24" s="1"/>
      <c r="N24" s="1"/>
      <c r="O24" s="1"/>
      <c r="P24" s="1"/>
      <c r="Q24" s="583" t="s">
        <v>687</v>
      </c>
      <c r="R24" s="584"/>
      <c r="S24" s="433">
        <f t="shared" ref="S24:X24" si="12">IF(S22&gt;0,S21/S22,0)</f>
        <v>0</v>
      </c>
      <c r="T24" s="433">
        <f t="shared" si="12"/>
        <v>0</v>
      </c>
      <c r="U24" s="433">
        <f t="shared" si="12"/>
        <v>0</v>
      </c>
      <c r="V24" s="433">
        <f t="shared" si="12"/>
        <v>0</v>
      </c>
      <c r="W24" s="433">
        <f t="shared" si="12"/>
        <v>0</v>
      </c>
      <c r="X24" s="433">
        <f t="shared" si="12"/>
        <v>0</v>
      </c>
      <c r="Z24" s="438">
        <v>650</v>
      </c>
      <c r="AA24" s="438">
        <v>18</v>
      </c>
      <c r="AB24" s="6"/>
    </row>
    <row r="25" spans="1:28" customFormat="1" ht="18" customHeight="1" x14ac:dyDescent="0.2"/>
    <row r="26" spans="1:28" customFormat="1" ht="18" customHeight="1" x14ac:dyDescent="0.25">
      <c r="B26" s="5" t="s">
        <v>390</v>
      </c>
      <c r="C26" s="419"/>
      <c r="D26" s="193"/>
      <c r="E26" s="193"/>
      <c r="F26" s="193"/>
      <c r="G26" s="193"/>
      <c r="H26" s="193"/>
      <c r="I26" s="193"/>
      <c r="J26" s="419"/>
      <c r="K26" s="419"/>
      <c r="L26" s="245"/>
    </row>
    <row r="27" spans="1:28" customFormat="1" ht="18" customHeight="1" x14ac:dyDescent="0.25">
      <c r="B27" s="446"/>
      <c r="C27" s="255"/>
      <c r="D27" s="193"/>
      <c r="E27" s="193"/>
      <c r="F27" s="193"/>
      <c r="G27" s="193"/>
      <c r="H27" s="193"/>
      <c r="I27" s="193"/>
      <c r="J27" s="193"/>
      <c r="K27" s="419"/>
      <c r="L27" s="245"/>
    </row>
    <row r="28" spans="1:28" customFormat="1" ht="30.75" x14ac:dyDescent="0.25">
      <c r="C28" s="407" t="s">
        <v>866</v>
      </c>
      <c r="D28" s="407" t="s">
        <v>867</v>
      </c>
      <c r="E28" s="407" t="s">
        <v>384</v>
      </c>
      <c r="F28" s="408" t="s">
        <v>716</v>
      </c>
      <c r="G28" s="408" t="s">
        <v>385</v>
      </c>
      <c r="H28" s="408" t="s">
        <v>386</v>
      </c>
      <c r="I28" s="407" t="s">
        <v>387</v>
      </c>
      <c r="J28" s="407" t="s">
        <v>389</v>
      </c>
      <c r="K28" s="407" t="s">
        <v>688</v>
      </c>
      <c r="L28" s="407" t="s">
        <v>388</v>
      </c>
      <c r="Z28" s="446" t="s">
        <v>375</v>
      </c>
      <c r="AA28" s="419"/>
    </row>
    <row r="29" spans="1:28" customFormat="1" ht="18" customHeight="1" x14ac:dyDescent="0.2">
      <c r="B29" s="1" t="s">
        <v>698</v>
      </c>
      <c r="C29" s="409">
        <f t="shared" ref="C29:C34" si="13">D16</f>
        <v>198.8</v>
      </c>
      <c r="D29" s="409">
        <f t="shared" ref="D29:D34" si="14">F16</f>
        <v>497</v>
      </c>
      <c r="E29" s="450">
        <v>189.5</v>
      </c>
      <c r="F29" s="451">
        <v>1.9</v>
      </c>
      <c r="G29" s="450">
        <v>20</v>
      </c>
      <c r="H29" s="411">
        <f t="shared" ref="H29:H34" si="15">IF(C29&gt;0,C29*E29*F29/G29,0)</f>
        <v>3578.8969999999995</v>
      </c>
      <c r="I29" s="433">
        <f t="shared" ref="I29:I34" si="16">IF(C29&gt;0,H29/C29,0)</f>
        <v>18.002499999999998</v>
      </c>
      <c r="J29" s="549">
        <v>0</v>
      </c>
      <c r="K29" s="549">
        <v>0</v>
      </c>
      <c r="L29" s="433">
        <f t="shared" ref="L29:L34" si="17">K29*C29</f>
        <v>0</v>
      </c>
      <c r="Z29" s="419"/>
      <c r="AA29" s="419"/>
    </row>
    <row r="30" spans="1:28" customFormat="1" ht="18" customHeight="1" x14ac:dyDescent="0.25">
      <c r="B30" s="1" t="s">
        <v>699</v>
      </c>
      <c r="C30" s="409">
        <f t="shared" si="13"/>
        <v>0</v>
      </c>
      <c r="D30" s="409">
        <f t="shared" si="14"/>
        <v>0</v>
      </c>
      <c r="E30" s="450"/>
      <c r="F30" s="451"/>
      <c r="G30" s="450"/>
      <c r="H30" s="411">
        <f t="shared" si="15"/>
        <v>0</v>
      </c>
      <c r="I30" s="433">
        <f t="shared" si="16"/>
        <v>0</v>
      </c>
      <c r="J30" s="549">
        <v>0</v>
      </c>
      <c r="K30" s="549">
        <v>0</v>
      </c>
      <c r="L30" s="433">
        <f t="shared" si="17"/>
        <v>0</v>
      </c>
      <c r="Z30" s="362" t="s">
        <v>374</v>
      </c>
      <c r="AA30" s="548">
        <f>D16</f>
        <v>198.8</v>
      </c>
    </row>
    <row r="31" spans="1:28" customFormat="1" ht="18" customHeight="1" x14ac:dyDescent="0.25">
      <c r="B31" s="1" t="s">
        <v>700</v>
      </c>
      <c r="C31" s="409">
        <f t="shared" si="13"/>
        <v>0</v>
      </c>
      <c r="D31" s="409">
        <f t="shared" si="14"/>
        <v>0</v>
      </c>
      <c r="E31" s="450"/>
      <c r="F31" s="451"/>
      <c r="G31" s="450"/>
      <c r="H31" s="411">
        <f t="shared" si="15"/>
        <v>0</v>
      </c>
      <c r="I31" s="433">
        <f t="shared" si="16"/>
        <v>0</v>
      </c>
      <c r="J31" s="549">
        <v>0</v>
      </c>
      <c r="K31" s="549">
        <v>0</v>
      </c>
      <c r="L31" s="433">
        <f t="shared" si="17"/>
        <v>0</v>
      </c>
      <c r="Z31" s="362" t="s">
        <v>868</v>
      </c>
      <c r="AA31" s="256">
        <v>200</v>
      </c>
    </row>
    <row r="32" spans="1:28" customFormat="1" ht="18" customHeight="1" x14ac:dyDescent="0.25">
      <c r="B32" s="1" t="s">
        <v>701</v>
      </c>
      <c r="C32" s="409">
        <f t="shared" si="13"/>
        <v>0</v>
      </c>
      <c r="D32" s="409">
        <f t="shared" si="14"/>
        <v>0</v>
      </c>
      <c r="E32" s="450"/>
      <c r="F32" s="451"/>
      <c r="G32" s="450"/>
      <c r="H32" s="411">
        <f t="shared" si="15"/>
        <v>0</v>
      </c>
      <c r="I32" s="433">
        <f t="shared" si="16"/>
        <v>0</v>
      </c>
      <c r="J32" s="549">
        <v>0</v>
      </c>
      <c r="K32" s="549">
        <v>0</v>
      </c>
      <c r="L32" s="433">
        <f t="shared" si="17"/>
        <v>0</v>
      </c>
      <c r="Z32" s="362" t="s">
        <v>869</v>
      </c>
      <c r="AA32" s="257">
        <v>2</v>
      </c>
    </row>
    <row r="33" spans="1:38" customFormat="1" ht="18" customHeight="1" x14ac:dyDescent="0.25">
      <c r="B33" s="1" t="s">
        <v>702</v>
      </c>
      <c r="C33" s="409">
        <f t="shared" si="13"/>
        <v>0</v>
      </c>
      <c r="D33" s="409">
        <f t="shared" si="14"/>
        <v>0</v>
      </c>
      <c r="E33" s="450"/>
      <c r="F33" s="451"/>
      <c r="G33" s="450"/>
      <c r="H33" s="411">
        <f t="shared" si="15"/>
        <v>0</v>
      </c>
      <c r="I33" s="433">
        <f t="shared" si="16"/>
        <v>0</v>
      </c>
      <c r="J33" s="549">
        <v>0</v>
      </c>
      <c r="K33" s="549">
        <v>0</v>
      </c>
      <c r="L33" s="433">
        <f t="shared" si="17"/>
        <v>0</v>
      </c>
      <c r="Z33" s="362" t="s">
        <v>870</v>
      </c>
      <c r="AA33" s="256">
        <v>28</v>
      </c>
    </row>
    <row r="34" spans="1:38" customFormat="1" ht="18" customHeight="1" x14ac:dyDescent="0.25">
      <c r="B34" s="1" t="s">
        <v>703</v>
      </c>
      <c r="C34" s="409">
        <f t="shared" si="13"/>
        <v>0</v>
      </c>
      <c r="D34" s="409">
        <f t="shared" si="14"/>
        <v>0</v>
      </c>
      <c r="E34" s="450"/>
      <c r="F34" s="451"/>
      <c r="G34" s="450"/>
      <c r="H34" s="411">
        <f t="shared" si="15"/>
        <v>0</v>
      </c>
      <c r="I34" s="433">
        <f t="shared" si="16"/>
        <v>0</v>
      </c>
      <c r="J34" s="549">
        <v>0</v>
      </c>
      <c r="K34" s="549">
        <v>0</v>
      </c>
      <c r="L34" s="433">
        <f t="shared" si="17"/>
        <v>0</v>
      </c>
      <c r="Z34" s="362" t="s">
        <v>993</v>
      </c>
      <c r="AA34" s="411">
        <f>IF(AA30&gt;0,AA30*AA31*AA32/AA33,0)</f>
        <v>2840</v>
      </c>
    </row>
    <row r="35" spans="1:38" customFormat="1" ht="18" customHeight="1" thickBot="1" x14ac:dyDescent="0.3">
      <c r="B35" s="419"/>
      <c r="C35" s="419"/>
      <c r="D35" s="419"/>
      <c r="E35" s="419"/>
      <c r="F35" s="419"/>
      <c r="G35" s="419"/>
      <c r="H35" s="440">
        <f>SUM(H29:H34)</f>
        <v>3578.8969999999995</v>
      </c>
      <c r="I35" s="419"/>
      <c r="J35" s="440">
        <f>SUM(J29:J34)</f>
        <v>0</v>
      </c>
      <c r="K35" s="419"/>
      <c r="L35" s="440">
        <f>SUM(L29:L34)</f>
        <v>0</v>
      </c>
      <c r="Z35" s="362" t="s">
        <v>871</v>
      </c>
      <c r="AA35" s="433">
        <f>IF(AA30&gt;0,AA34/AA30,0)</f>
        <v>14.285714285714285</v>
      </c>
    </row>
    <row r="36" spans="1:38" customFormat="1" ht="18" customHeight="1" thickTop="1" x14ac:dyDescent="0.2"/>
    <row r="37" spans="1:38" customFormat="1" ht="18" customHeight="1" x14ac:dyDescent="0.2"/>
    <row r="38" spans="1:38" customFormat="1" ht="18" customHeight="1" x14ac:dyDescent="0.25">
      <c r="B38" s="5" t="s">
        <v>392</v>
      </c>
      <c r="C38" s="1"/>
      <c r="D38" s="1"/>
      <c r="E38" s="1"/>
      <c r="F38" s="1"/>
      <c r="G38" s="1"/>
      <c r="H38" s="1"/>
      <c r="I38" s="1"/>
      <c r="J38" s="1"/>
      <c r="K38" s="1"/>
      <c r="L38" s="419"/>
      <c r="M38" s="419"/>
      <c r="N38" s="419"/>
      <c r="O38" s="419"/>
      <c r="P38" s="419"/>
    </row>
    <row r="39" spans="1:38" ht="18" customHeight="1" x14ac:dyDescent="0.2">
      <c r="A39" s="1"/>
      <c r="B39" s="1"/>
      <c r="C39" s="1"/>
      <c r="D39" s="1"/>
      <c r="E39" s="1"/>
      <c r="F39" s="1"/>
      <c r="G39" s="1"/>
      <c r="H39" s="1"/>
      <c r="I39" s="1"/>
      <c r="J39" s="1"/>
      <c r="K39" s="1"/>
      <c r="Q39" s="1"/>
      <c r="R39" s="1"/>
      <c r="S39" s="1"/>
      <c r="T39" s="1"/>
      <c r="U39" s="1"/>
      <c r="V39" s="1"/>
      <c r="W39" s="1"/>
      <c r="X39" s="1"/>
      <c r="AA39" s="419"/>
    </row>
    <row r="40" spans="1:38" ht="28.5" customHeight="1" x14ac:dyDescent="0.2">
      <c r="A40" s="1"/>
      <c r="B40" s="1"/>
      <c r="C40" s="407" t="s">
        <v>720</v>
      </c>
      <c r="D40" s="408" t="s">
        <v>883</v>
      </c>
      <c r="E40" s="408" t="s">
        <v>884</v>
      </c>
      <c r="F40" s="408" t="s">
        <v>885</v>
      </c>
      <c r="G40" s="408" t="s">
        <v>886</v>
      </c>
      <c r="H40" s="408" t="s">
        <v>887</v>
      </c>
      <c r="I40" s="408" t="s">
        <v>888</v>
      </c>
      <c r="J40" s="408" t="s">
        <v>889</v>
      </c>
      <c r="K40" s="408" t="s">
        <v>395</v>
      </c>
      <c r="L40" s="408" t="s">
        <v>337</v>
      </c>
      <c r="M40" s="408" t="s">
        <v>993</v>
      </c>
      <c r="X40" s="1"/>
      <c r="Y40" s="1"/>
      <c r="AA40" s="419"/>
    </row>
    <row r="41" spans="1:38" ht="18" customHeight="1" x14ac:dyDescent="0.2">
      <c r="A41" s="1"/>
      <c r="B41" s="1" t="s">
        <v>698</v>
      </c>
      <c r="C41" s="409">
        <f t="shared" ref="C41:C46" si="18">D16</f>
        <v>198.8</v>
      </c>
      <c r="D41" s="410"/>
      <c r="E41" s="410"/>
      <c r="F41" s="410"/>
      <c r="G41" s="410">
        <f>0.38</f>
        <v>0.38</v>
      </c>
      <c r="H41" s="410"/>
      <c r="I41" s="410"/>
      <c r="J41" s="410"/>
      <c r="K41" s="410"/>
      <c r="L41" s="410"/>
      <c r="M41" s="411">
        <f t="shared" ref="M41:M46" si="19">SUM(D41:L41)*C41</f>
        <v>75.544000000000011</v>
      </c>
      <c r="X41" s="1"/>
      <c r="AA41" s="419"/>
      <c r="AB41" s="419"/>
      <c r="AC41" s="419"/>
      <c r="AD41" s="419"/>
      <c r="AE41" s="419"/>
      <c r="AF41" s="419"/>
    </row>
    <row r="42" spans="1:38" ht="18" customHeight="1" x14ac:dyDescent="0.2">
      <c r="A42" s="1"/>
      <c r="B42" s="1" t="s">
        <v>699</v>
      </c>
      <c r="C42" s="409">
        <f t="shared" si="18"/>
        <v>0</v>
      </c>
      <c r="D42" s="410"/>
      <c r="E42" s="410"/>
      <c r="F42" s="410"/>
      <c r="G42" s="410"/>
      <c r="H42" s="410"/>
      <c r="I42" s="410"/>
      <c r="J42" s="410"/>
      <c r="K42" s="410"/>
      <c r="L42" s="410"/>
      <c r="M42" s="411">
        <f t="shared" si="19"/>
        <v>0</v>
      </c>
      <c r="X42" s="1"/>
      <c r="AA42" s="419"/>
      <c r="AB42" s="419"/>
      <c r="AC42" s="419"/>
      <c r="AD42" s="419"/>
      <c r="AE42" s="419"/>
      <c r="AF42" s="419"/>
    </row>
    <row r="43" spans="1:38" ht="18" customHeight="1" x14ac:dyDescent="0.2">
      <c r="A43" s="1"/>
      <c r="B43" s="1" t="s">
        <v>700</v>
      </c>
      <c r="C43" s="409">
        <f t="shared" si="18"/>
        <v>0</v>
      </c>
      <c r="D43" s="410"/>
      <c r="E43" s="410"/>
      <c r="F43" s="410"/>
      <c r="G43" s="410"/>
      <c r="H43" s="410"/>
      <c r="I43" s="410"/>
      <c r="J43" s="410"/>
      <c r="K43" s="410"/>
      <c r="L43" s="410"/>
      <c r="M43" s="411">
        <f t="shared" si="19"/>
        <v>0</v>
      </c>
      <c r="X43" s="1"/>
      <c r="AA43" s="419"/>
      <c r="AB43" s="419"/>
      <c r="AC43" s="419"/>
      <c r="AD43" s="419"/>
      <c r="AE43" s="419"/>
      <c r="AF43" s="419"/>
    </row>
    <row r="44" spans="1:38" ht="18" customHeight="1" x14ac:dyDescent="0.2">
      <c r="A44" s="1"/>
      <c r="B44" s="1" t="s">
        <v>701</v>
      </c>
      <c r="C44" s="409">
        <f t="shared" si="18"/>
        <v>0</v>
      </c>
      <c r="D44" s="410"/>
      <c r="E44" s="410"/>
      <c r="F44" s="410"/>
      <c r="G44" s="410"/>
      <c r="H44" s="410"/>
      <c r="I44" s="410"/>
      <c r="J44" s="410"/>
      <c r="K44" s="410"/>
      <c r="L44" s="410"/>
      <c r="M44" s="411">
        <f t="shared" si="19"/>
        <v>0</v>
      </c>
      <c r="X44" s="1"/>
      <c r="AA44" s="419"/>
      <c r="AB44" s="419"/>
      <c r="AC44" s="419"/>
      <c r="AD44" s="419"/>
      <c r="AE44" s="419"/>
      <c r="AF44" s="419"/>
    </row>
    <row r="45" spans="1:38" ht="18" customHeight="1" x14ac:dyDescent="0.2">
      <c r="A45" s="1"/>
      <c r="B45" s="1" t="s">
        <v>702</v>
      </c>
      <c r="C45" s="409">
        <f t="shared" si="18"/>
        <v>0</v>
      </c>
      <c r="D45" s="410"/>
      <c r="E45" s="410"/>
      <c r="F45" s="410"/>
      <c r="G45" s="410"/>
      <c r="H45" s="410"/>
      <c r="I45" s="410"/>
      <c r="J45" s="410"/>
      <c r="K45" s="410"/>
      <c r="L45" s="410"/>
      <c r="M45" s="411">
        <f t="shared" si="19"/>
        <v>0</v>
      </c>
      <c r="X45" s="1"/>
      <c r="AA45" s="419"/>
      <c r="AB45" s="419"/>
      <c r="AC45" s="419"/>
      <c r="AD45" s="419"/>
      <c r="AE45" s="419"/>
      <c r="AF45" s="419"/>
      <c r="AL45" s="444"/>
    </row>
    <row r="46" spans="1:38" ht="18" customHeight="1" x14ac:dyDescent="0.2">
      <c r="A46" s="1"/>
      <c r="B46" s="1" t="s">
        <v>703</v>
      </c>
      <c r="C46" s="409">
        <f t="shared" si="18"/>
        <v>0</v>
      </c>
      <c r="D46" s="410"/>
      <c r="E46" s="410"/>
      <c r="F46" s="410"/>
      <c r="G46" s="410"/>
      <c r="H46" s="410"/>
      <c r="I46" s="410"/>
      <c r="J46" s="410"/>
      <c r="K46" s="410"/>
      <c r="L46" s="410"/>
      <c r="M46" s="411">
        <f t="shared" si="19"/>
        <v>0</v>
      </c>
      <c r="X46" s="1"/>
      <c r="AA46" s="419"/>
      <c r="AB46" s="419"/>
      <c r="AC46" s="419"/>
      <c r="AD46" s="419"/>
      <c r="AE46" s="419"/>
      <c r="AF46" s="419"/>
      <c r="AK46" s="444"/>
      <c r="AL46" s="444"/>
    </row>
    <row r="47" spans="1:38" ht="18" customHeight="1" x14ac:dyDescent="0.2">
      <c r="A47" s="1"/>
      <c r="B47" s="1"/>
      <c r="C47" s="1"/>
      <c r="D47" s="412">
        <f t="shared" ref="D47:L47" si="20">SUMPRODUCT($C$41:$C$46,D41:D46)</f>
        <v>0</v>
      </c>
      <c r="E47" s="412">
        <f t="shared" si="20"/>
        <v>0</v>
      </c>
      <c r="F47" s="412">
        <f t="shared" si="20"/>
        <v>0</v>
      </c>
      <c r="G47" s="412">
        <f t="shared" si="20"/>
        <v>75.544000000000011</v>
      </c>
      <c r="H47" s="412">
        <f t="shared" si="20"/>
        <v>0</v>
      </c>
      <c r="I47" s="412">
        <f t="shared" si="20"/>
        <v>0</v>
      </c>
      <c r="J47" s="412">
        <f t="shared" si="20"/>
        <v>0</v>
      </c>
      <c r="K47" s="412">
        <f t="shared" si="20"/>
        <v>0</v>
      </c>
      <c r="L47" s="412">
        <f t="shared" si="20"/>
        <v>0</v>
      </c>
      <c r="M47" s="411">
        <f>SUM(M41:M46)</f>
        <v>75.544000000000011</v>
      </c>
      <c r="X47" s="1"/>
      <c r="AA47" s="419"/>
      <c r="AB47" s="419"/>
      <c r="AC47" s="419"/>
      <c r="AD47" s="419"/>
      <c r="AE47" s="419"/>
      <c r="AF47" s="419"/>
      <c r="AK47" s="444"/>
      <c r="AL47" s="444"/>
    </row>
    <row r="48" spans="1:38" ht="18" customHeight="1" x14ac:dyDescent="0.2">
      <c r="A48" s="1"/>
      <c r="Q48" s="1"/>
      <c r="R48" s="1"/>
      <c r="S48" s="1"/>
      <c r="T48" s="1"/>
      <c r="U48" s="1"/>
      <c r="V48" s="1"/>
      <c r="W48" s="1"/>
      <c r="X48" s="1"/>
      <c r="AA48" s="419"/>
      <c r="AB48" s="419"/>
      <c r="AC48" s="419"/>
      <c r="AD48" s="419"/>
      <c r="AE48" s="419"/>
      <c r="AF48" s="419"/>
      <c r="AK48" s="444"/>
      <c r="AL48" s="444"/>
    </row>
    <row r="49" spans="1:38" ht="18" customHeight="1" x14ac:dyDescent="0.2">
      <c r="A49" s="1"/>
      <c r="Q49" s="1"/>
      <c r="R49" s="1"/>
      <c r="S49" s="1"/>
      <c r="T49" s="1"/>
      <c r="U49" s="1"/>
      <c r="V49" s="1"/>
      <c r="W49" s="1"/>
      <c r="X49" s="1"/>
      <c r="AA49" s="419"/>
      <c r="AB49" s="419"/>
      <c r="AC49" s="419"/>
      <c r="AD49" s="419"/>
      <c r="AE49" s="419"/>
      <c r="AF49" s="419"/>
      <c r="AK49" s="444"/>
      <c r="AL49" s="444"/>
    </row>
    <row r="50" spans="1:38" ht="18" customHeight="1" x14ac:dyDescent="0.2">
      <c r="A50" s="1"/>
      <c r="Q50" s="1"/>
      <c r="R50" s="1"/>
      <c r="S50" s="1"/>
      <c r="T50" s="1"/>
      <c r="U50" s="1"/>
      <c r="V50" s="1"/>
      <c r="W50" s="1"/>
      <c r="X50" s="1"/>
      <c r="AA50" s="419"/>
      <c r="AB50" s="419"/>
      <c r="AC50" s="419"/>
      <c r="AD50" s="419"/>
      <c r="AE50" s="419"/>
      <c r="AF50" s="419"/>
      <c r="AK50" s="444"/>
      <c r="AL50" s="444"/>
    </row>
    <row r="51" spans="1:38" ht="18" customHeight="1" x14ac:dyDescent="0.25">
      <c r="A51" s="1"/>
      <c r="B51" s="5" t="s">
        <v>401</v>
      </c>
      <c r="C51"/>
      <c r="D51"/>
      <c r="E51"/>
      <c r="F51"/>
      <c r="G51"/>
      <c r="H51"/>
      <c r="I51"/>
      <c r="J51"/>
      <c r="K51"/>
      <c r="L51"/>
      <c r="M51"/>
      <c r="N51"/>
      <c r="O51"/>
      <c r="P51"/>
      <c r="Q51" s="1"/>
      <c r="R51" s="1"/>
      <c r="S51" s="1"/>
      <c r="T51" s="1"/>
      <c r="U51" s="1"/>
      <c r="V51" s="1"/>
      <c r="W51" s="1"/>
      <c r="X51" s="1"/>
      <c r="AA51" s="419"/>
      <c r="AB51" s="419"/>
      <c r="AC51" s="419"/>
      <c r="AD51" s="419"/>
      <c r="AE51" s="419"/>
      <c r="AF51" s="419"/>
      <c r="AK51" s="444"/>
      <c r="AL51" s="444"/>
    </row>
    <row r="52" spans="1:38" ht="18" customHeight="1" x14ac:dyDescent="0.25">
      <c r="A52" s="1"/>
      <c r="B52" s="5"/>
      <c r="C52" s="1"/>
      <c r="D52" s="1"/>
      <c r="E52" s="1"/>
      <c r="F52" s="1"/>
      <c r="G52" s="1"/>
      <c r="H52" s="1"/>
      <c r="I52" s="1"/>
      <c r="J52" s="1"/>
      <c r="K52" s="1"/>
      <c r="L52" s="1"/>
      <c r="M52" s="1"/>
      <c r="N52" s="1"/>
      <c r="O52" s="1"/>
      <c r="P52" s="1"/>
      <c r="Q52" s="1"/>
      <c r="R52" s="1"/>
      <c r="S52" s="1"/>
      <c r="T52" s="1"/>
      <c r="U52" s="1"/>
      <c r="V52" s="1"/>
      <c r="W52" s="1"/>
      <c r="X52" s="1"/>
      <c r="AA52" s="419"/>
      <c r="AB52" s="419"/>
      <c r="AC52" s="419"/>
      <c r="AD52" s="419"/>
      <c r="AE52" s="419"/>
      <c r="AF52" s="419"/>
      <c r="AK52" s="444"/>
      <c r="AL52" s="444"/>
    </row>
    <row r="53" spans="1:38" ht="30" x14ac:dyDescent="0.2">
      <c r="A53" s="1"/>
      <c r="B53" s="1"/>
      <c r="C53" s="407" t="s">
        <v>704</v>
      </c>
      <c r="D53" s="407" t="s">
        <v>824</v>
      </c>
      <c r="E53" s="407" t="s">
        <v>705</v>
      </c>
      <c r="F53" s="407" t="s">
        <v>378</v>
      </c>
      <c r="G53" s="407" t="s">
        <v>379</v>
      </c>
      <c r="H53" s="407" t="s">
        <v>706</v>
      </c>
      <c r="I53" s="407" t="s">
        <v>380</v>
      </c>
      <c r="J53" s="407" t="s">
        <v>850</v>
      </c>
      <c r="K53" s="407" t="s">
        <v>707</v>
      </c>
      <c r="L53" s="407" t="s">
        <v>708</v>
      </c>
      <c r="M53" s="407" t="s">
        <v>855</v>
      </c>
      <c r="N53" s="407" t="s">
        <v>851</v>
      </c>
      <c r="O53" s="407" t="s">
        <v>856</v>
      </c>
      <c r="Q53" s="1"/>
      <c r="R53" s="1"/>
      <c r="S53" s="1"/>
      <c r="T53" s="1"/>
      <c r="U53" s="1"/>
      <c r="V53" s="1"/>
      <c r="W53" s="1"/>
      <c r="X53" s="1"/>
      <c r="AA53" s="419"/>
      <c r="AB53" s="419"/>
      <c r="AC53" s="419"/>
      <c r="AD53" s="419"/>
      <c r="AE53" s="419"/>
      <c r="AF53" s="419"/>
      <c r="AK53" s="444"/>
      <c r="AL53" s="444"/>
    </row>
    <row r="54" spans="1:38" ht="18" customHeight="1" x14ac:dyDescent="0.2">
      <c r="A54" s="1"/>
      <c r="B54" s="1" t="s">
        <v>698</v>
      </c>
      <c r="C54" s="431">
        <f>C16+90</f>
        <v>41881</v>
      </c>
      <c r="D54" s="409">
        <f t="shared" ref="D54:D59" si="21">C54-C16</f>
        <v>90</v>
      </c>
      <c r="E54" s="429">
        <v>596</v>
      </c>
      <c r="F54" s="409">
        <f t="shared" ref="F54:F59" si="22">E54-F16</f>
        <v>99</v>
      </c>
      <c r="G54" s="413">
        <f t="shared" ref="G54:G59" si="23">IF(F54&lt;=0,0,F54/D54)</f>
        <v>1.1000000000000001</v>
      </c>
      <c r="H54" s="441">
        <f>D16</f>
        <v>198.8</v>
      </c>
      <c r="I54" s="421">
        <f t="shared" ref="I54:I59" si="24">IF(H54&lt;=0,0,(H54-D16)/D16)</f>
        <v>0</v>
      </c>
      <c r="J54" s="442">
        <v>1.6639999999999999</v>
      </c>
      <c r="K54" s="550">
        <f t="shared" ref="K54:K59" si="25">J54*E54</f>
        <v>991.74399999999991</v>
      </c>
      <c r="L54" s="411">
        <f t="shared" ref="L54:L59" si="26">K54*H54</f>
        <v>197158.7072</v>
      </c>
      <c r="M54" s="409">
        <f t="shared" ref="M54:M59" si="27">E54*H54</f>
        <v>118484.8</v>
      </c>
      <c r="N54" s="415">
        <v>0.52</v>
      </c>
      <c r="O54" s="409">
        <f t="shared" ref="O54:O59" si="28">N54*M54</f>
        <v>61612.096000000005</v>
      </c>
      <c r="Q54" s="1"/>
      <c r="R54" s="1"/>
      <c r="S54" s="1"/>
      <c r="T54" s="1"/>
      <c r="U54" s="1"/>
      <c r="V54" s="1"/>
      <c r="W54" s="1"/>
      <c r="X54" s="1"/>
      <c r="AA54" s="419"/>
      <c r="AB54" s="419"/>
      <c r="AC54" s="419"/>
      <c r="AD54" s="419"/>
      <c r="AE54" s="419"/>
      <c r="AF54" s="419"/>
      <c r="AK54" s="444"/>
      <c r="AL54" s="444"/>
    </row>
    <row r="55" spans="1:38" ht="18" customHeight="1" x14ac:dyDescent="0.2">
      <c r="A55" s="1"/>
      <c r="B55" s="1" t="s">
        <v>699</v>
      </c>
      <c r="C55" s="431"/>
      <c r="D55" s="409">
        <f t="shared" si="21"/>
        <v>0</v>
      </c>
      <c r="E55" s="429"/>
      <c r="F55" s="409">
        <f t="shared" si="22"/>
        <v>0</v>
      </c>
      <c r="G55" s="413">
        <f t="shared" si="23"/>
        <v>0</v>
      </c>
      <c r="H55" s="435"/>
      <c r="I55" s="421">
        <f t="shared" si="24"/>
        <v>0</v>
      </c>
      <c r="J55" s="442"/>
      <c r="K55" s="550">
        <f t="shared" si="25"/>
        <v>0</v>
      </c>
      <c r="L55" s="411">
        <f t="shared" si="26"/>
        <v>0</v>
      </c>
      <c r="M55" s="409">
        <f t="shared" si="27"/>
        <v>0</v>
      </c>
      <c r="N55" s="415">
        <v>0.52</v>
      </c>
      <c r="O55" s="409">
        <f t="shared" si="28"/>
        <v>0</v>
      </c>
      <c r="Q55" s="1"/>
      <c r="R55" s="1"/>
      <c r="S55" s="1"/>
      <c r="T55" s="1"/>
      <c r="U55" s="1"/>
      <c r="V55" s="1"/>
      <c r="W55" s="1"/>
      <c r="X55" s="1"/>
      <c r="AA55" s="419"/>
      <c r="AB55" s="419"/>
      <c r="AC55" s="419"/>
      <c r="AD55" s="419"/>
      <c r="AE55" s="419"/>
      <c r="AF55" s="419"/>
      <c r="AK55" s="444"/>
      <c r="AL55" s="444"/>
    </row>
    <row r="56" spans="1:38" x14ac:dyDescent="0.2">
      <c r="A56" s="1"/>
      <c r="B56" s="1" t="s">
        <v>700</v>
      </c>
      <c r="C56" s="431"/>
      <c r="D56" s="409">
        <f t="shared" si="21"/>
        <v>0</v>
      </c>
      <c r="E56" s="429"/>
      <c r="F56" s="409">
        <f t="shared" si="22"/>
        <v>0</v>
      </c>
      <c r="G56" s="413">
        <f t="shared" si="23"/>
        <v>0</v>
      </c>
      <c r="H56" s="435"/>
      <c r="I56" s="421">
        <f t="shared" si="24"/>
        <v>0</v>
      </c>
      <c r="J56" s="442"/>
      <c r="K56" s="550">
        <f t="shared" si="25"/>
        <v>0</v>
      </c>
      <c r="L56" s="411">
        <f t="shared" si="26"/>
        <v>0</v>
      </c>
      <c r="M56" s="409">
        <f t="shared" si="27"/>
        <v>0</v>
      </c>
      <c r="N56" s="415">
        <v>0.52</v>
      </c>
      <c r="O56" s="409">
        <f t="shared" si="28"/>
        <v>0</v>
      </c>
      <c r="Q56" s="1"/>
      <c r="R56" s="1"/>
      <c r="S56" s="1"/>
      <c r="T56" s="1"/>
      <c r="U56" s="1"/>
      <c r="V56" s="1"/>
      <c r="W56" s="1"/>
      <c r="X56" s="1"/>
      <c r="AA56" s="419"/>
      <c r="AB56" s="419"/>
      <c r="AC56" s="419"/>
      <c r="AD56" s="419"/>
      <c r="AE56" s="419"/>
      <c r="AF56" s="419"/>
      <c r="AK56" s="444"/>
      <c r="AL56" s="444"/>
    </row>
    <row r="57" spans="1:38" ht="18" customHeight="1" x14ac:dyDescent="0.2">
      <c r="A57" s="1"/>
      <c r="B57" s="1" t="s">
        <v>701</v>
      </c>
      <c r="C57" s="431"/>
      <c r="D57" s="409">
        <f t="shared" si="21"/>
        <v>0</v>
      </c>
      <c r="E57" s="435"/>
      <c r="F57" s="409">
        <f t="shared" si="22"/>
        <v>0</v>
      </c>
      <c r="G57" s="413">
        <f t="shared" si="23"/>
        <v>0</v>
      </c>
      <c r="H57" s="435"/>
      <c r="I57" s="421">
        <f t="shared" si="24"/>
        <v>0</v>
      </c>
      <c r="J57" s="442"/>
      <c r="K57" s="550">
        <f t="shared" si="25"/>
        <v>0</v>
      </c>
      <c r="L57" s="411">
        <f t="shared" si="26"/>
        <v>0</v>
      </c>
      <c r="M57" s="409">
        <f t="shared" si="27"/>
        <v>0</v>
      </c>
      <c r="N57" s="415">
        <v>0.52</v>
      </c>
      <c r="O57" s="409">
        <f t="shared" si="28"/>
        <v>0</v>
      </c>
      <c r="Q57" s="1"/>
      <c r="R57" s="1"/>
      <c r="S57" s="1"/>
      <c r="T57" s="1"/>
      <c r="U57" s="1"/>
      <c r="V57" s="1"/>
      <c r="W57" s="1"/>
      <c r="X57" s="1"/>
      <c r="AA57" s="419"/>
      <c r="AB57" s="419"/>
      <c r="AC57" s="419"/>
      <c r="AD57" s="419"/>
      <c r="AE57" s="419"/>
      <c r="AF57" s="419"/>
      <c r="AK57" s="444"/>
      <c r="AL57" s="444"/>
    </row>
    <row r="58" spans="1:38" ht="18" customHeight="1" x14ac:dyDescent="0.2">
      <c r="A58" s="1"/>
      <c r="B58" s="1" t="s">
        <v>702</v>
      </c>
      <c r="C58" s="431"/>
      <c r="D58" s="409">
        <f t="shared" si="21"/>
        <v>0</v>
      </c>
      <c r="E58" s="435"/>
      <c r="F58" s="409">
        <f t="shared" si="22"/>
        <v>0</v>
      </c>
      <c r="G58" s="413">
        <f t="shared" si="23"/>
        <v>0</v>
      </c>
      <c r="H58" s="435"/>
      <c r="I58" s="421">
        <f t="shared" si="24"/>
        <v>0</v>
      </c>
      <c r="J58" s="442"/>
      <c r="K58" s="550">
        <f t="shared" si="25"/>
        <v>0</v>
      </c>
      <c r="L58" s="411">
        <f t="shared" si="26"/>
        <v>0</v>
      </c>
      <c r="M58" s="409">
        <f t="shared" si="27"/>
        <v>0</v>
      </c>
      <c r="N58" s="415">
        <v>0.52</v>
      </c>
      <c r="O58" s="409">
        <f t="shared" si="28"/>
        <v>0</v>
      </c>
      <c r="Q58" s="1"/>
      <c r="R58" s="1"/>
      <c r="S58" s="1"/>
      <c r="T58" s="1"/>
      <c r="U58" s="1"/>
      <c r="V58" s="1"/>
      <c r="W58" s="1"/>
      <c r="X58" s="1"/>
      <c r="AA58" s="419"/>
      <c r="AB58" s="419"/>
      <c r="AC58" s="419"/>
      <c r="AD58" s="419"/>
      <c r="AE58" s="419"/>
      <c r="AF58" s="419"/>
      <c r="AK58" s="444"/>
      <c r="AL58" s="444"/>
    </row>
    <row r="59" spans="1:38" ht="18" customHeight="1" x14ac:dyDescent="0.2">
      <c r="A59" s="1"/>
      <c r="B59" s="1" t="s">
        <v>703</v>
      </c>
      <c r="C59" s="431"/>
      <c r="D59" s="409">
        <f t="shared" si="21"/>
        <v>0</v>
      </c>
      <c r="E59" s="435"/>
      <c r="F59" s="409">
        <f t="shared" si="22"/>
        <v>0</v>
      </c>
      <c r="G59" s="413">
        <f t="shared" si="23"/>
        <v>0</v>
      </c>
      <c r="H59" s="435"/>
      <c r="I59" s="421">
        <f t="shared" si="24"/>
        <v>0</v>
      </c>
      <c r="J59" s="442"/>
      <c r="K59" s="550">
        <f t="shared" si="25"/>
        <v>0</v>
      </c>
      <c r="L59" s="411">
        <f t="shared" si="26"/>
        <v>0</v>
      </c>
      <c r="M59" s="409">
        <f t="shared" si="27"/>
        <v>0</v>
      </c>
      <c r="N59" s="415">
        <v>0.52</v>
      </c>
      <c r="O59" s="409">
        <f t="shared" si="28"/>
        <v>0</v>
      </c>
      <c r="Q59" s="1"/>
      <c r="R59" s="1"/>
      <c r="S59" s="1"/>
      <c r="T59" s="1"/>
      <c r="U59" s="1"/>
      <c r="V59" s="1"/>
      <c r="W59" s="1"/>
      <c r="X59" s="1"/>
      <c r="AA59" s="419"/>
      <c r="AB59" s="419"/>
      <c r="AC59" s="419"/>
      <c r="AD59" s="419"/>
      <c r="AE59" s="419"/>
      <c r="AF59" s="419"/>
      <c r="AK59" s="444"/>
      <c r="AL59" s="444"/>
    </row>
    <row r="60" spans="1:38" ht="18" customHeight="1" thickBot="1" x14ac:dyDescent="0.25">
      <c r="A60" s="1"/>
      <c r="B60" s="1"/>
      <c r="C60" s="1"/>
      <c r="D60" s="1"/>
      <c r="E60" s="439">
        <f>SUMPRODUCT(E54:E59,H54:H59)</f>
        <v>118484.8</v>
      </c>
      <c r="F60" s="1"/>
      <c r="G60" s="1"/>
      <c r="I60" s="1"/>
      <c r="J60" s="1"/>
      <c r="K60" s="1" t="s">
        <v>993</v>
      </c>
      <c r="L60" s="440">
        <f>SUM(L54:L59)</f>
        <v>197158.7072</v>
      </c>
      <c r="M60" s="439">
        <f>SUM(M54:M59)</f>
        <v>118484.8</v>
      </c>
      <c r="O60" s="439">
        <f>SUM(O54:O59)</f>
        <v>61612.096000000005</v>
      </c>
      <c r="Q60" s="1"/>
      <c r="R60" s="1"/>
      <c r="S60" s="1"/>
      <c r="T60" s="1"/>
      <c r="U60" s="1"/>
      <c r="V60" s="1"/>
      <c r="W60" s="1"/>
      <c r="X60" s="1"/>
      <c r="AA60" s="419"/>
      <c r="AB60" s="419"/>
      <c r="AC60" s="419"/>
      <c r="AD60" s="419"/>
      <c r="AE60" s="419"/>
      <c r="AF60" s="419"/>
      <c r="AK60" s="444"/>
      <c r="AL60" s="444"/>
    </row>
    <row r="61" spans="1:38" ht="18" customHeight="1" thickTop="1" x14ac:dyDescent="0.2">
      <c r="A61" s="1"/>
      <c r="B61" s="1"/>
      <c r="C61" s="1"/>
      <c r="D61" s="1"/>
      <c r="E61" s="1"/>
      <c r="F61" s="1"/>
      <c r="G61" s="1"/>
      <c r="H61" s="1"/>
      <c r="I61" s="1"/>
      <c r="J61" s="1"/>
      <c r="K61" s="1"/>
      <c r="L61" s="12" t="s">
        <v>562</v>
      </c>
      <c r="M61" s="481">
        <f>F22</f>
        <v>98803.6</v>
      </c>
      <c r="N61" s="1"/>
      <c r="O61" s="481">
        <f>M61*O60/M60</f>
        <v>51377.87200000001</v>
      </c>
      <c r="P61" s="1"/>
      <c r="Q61" s="1"/>
      <c r="R61" s="1"/>
      <c r="S61" s="1"/>
      <c r="T61" s="1"/>
      <c r="U61" s="1"/>
      <c r="V61" s="1"/>
      <c r="W61" s="1"/>
      <c r="X61" s="1"/>
      <c r="AA61" s="419"/>
      <c r="AB61" s="419"/>
      <c r="AC61" s="419"/>
      <c r="AD61" s="419"/>
      <c r="AE61" s="419"/>
      <c r="AF61" s="419"/>
      <c r="AK61" s="444"/>
      <c r="AL61" s="444"/>
    </row>
    <row r="62" spans="1:38" ht="18" customHeight="1" x14ac:dyDescent="0.25">
      <c r="A62" s="1"/>
      <c r="L62" s="547" t="s">
        <v>381</v>
      </c>
      <c r="M62" s="247">
        <f>M60-M61</f>
        <v>19681.199999999997</v>
      </c>
      <c r="N62" t="s">
        <v>382</v>
      </c>
      <c r="O62" s="247">
        <f>O60-O61</f>
        <v>10234.223999999995</v>
      </c>
      <c r="P62" s="1" t="s">
        <v>383</v>
      </c>
      <c r="Q62" s="1"/>
      <c r="R62" s="1"/>
      <c r="S62" s="1"/>
      <c r="T62" s="1"/>
      <c r="U62" s="1"/>
      <c r="V62" s="1"/>
      <c r="W62" s="1"/>
      <c r="X62" s="1"/>
      <c r="AA62" s="419"/>
      <c r="AB62" s="419"/>
      <c r="AC62" s="419"/>
      <c r="AD62" s="419"/>
      <c r="AE62" s="419"/>
      <c r="AF62" s="419"/>
      <c r="AK62" s="444"/>
      <c r="AL62" s="444"/>
    </row>
    <row r="63" spans="1:38" ht="18" customHeight="1" x14ac:dyDescent="0.25">
      <c r="A63" s="1"/>
      <c r="B63" s="446"/>
      <c r="L63" s="245"/>
      <c r="M63"/>
      <c r="N63"/>
      <c r="O63"/>
      <c r="P63" s="1"/>
      <c r="Q63" s="1"/>
      <c r="R63" s="1"/>
      <c r="S63" s="1"/>
      <c r="T63" s="1"/>
      <c r="U63" s="1"/>
      <c r="V63" s="1"/>
      <c r="W63" s="1"/>
      <c r="X63" s="1"/>
      <c r="AA63" s="419"/>
      <c r="AB63" s="419"/>
      <c r="AC63" s="419"/>
      <c r="AD63" s="419"/>
      <c r="AE63" s="419"/>
      <c r="AF63" s="419"/>
      <c r="AK63" s="444"/>
      <c r="AL63" s="444"/>
    </row>
    <row r="64" spans="1:38" ht="18" customHeight="1" x14ac:dyDescent="0.25">
      <c r="A64" s="1"/>
      <c r="B64" s="446"/>
      <c r="L64" s="245"/>
      <c r="M64"/>
      <c r="N64"/>
      <c r="O64"/>
      <c r="P64" s="1"/>
      <c r="Q64" s="1"/>
      <c r="R64" s="1"/>
      <c r="S64" s="1"/>
      <c r="T64" s="1"/>
      <c r="U64" s="1"/>
      <c r="V64" s="1"/>
      <c r="W64" s="1"/>
      <c r="X64" s="1"/>
      <c r="AA64" s="419"/>
      <c r="AB64" s="419"/>
      <c r="AC64" s="419"/>
      <c r="AD64" s="419"/>
      <c r="AE64" s="419"/>
      <c r="AF64" s="419"/>
      <c r="AK64" s="444"/>
      <c r="AL64" s="444"/>
    </row>
    <row r="65" spans="1:38" ht="18" customHeight="1" x14ac:dyDescent="0.25">
      <c r="A65" s="1"/>
      <c r="B65" s="446"/>
      <c r="L65" s="245"/>
      <c r="M65"/>
      <c r="N65"/>
      <c r="O65"/>
      <c r="P65" s="1"/>
      <c r="Q65" s="1"/>
      <c r="R65" s="1"/>
      <c r="S65" s="1"/>
      <c r="T65" s="1"/>
      <c r="U65" s="1"/>
      <c r="V65" s="1"/>
      <c r="W65" s="1"/>
      <c r="X65" s="1"/>
      <c r="AA65" s="419"/>
      <c r="AB65" s="419"/>
      <c r="AC65" s="419"/>
      <c r="AD65" s="419"/>
      <c r="AE65" s="419"/>
      <c r="AF65" s="419"/>
      <c r="AK65" s="444"/>
      <c r="AL65" s="444"/>
    </row>
    <row r="66" spans="1:38" ht="18" customHeight="1" x14ac:dyDescent="0.25">
      <c r="A66" s="1"/>
      <c r="B66" s="446" t="s">
        <v>561</v>
      </c>
      <c r="L66" s="245"/>
      <c r="M66"/>
      <c r="N66"/>
      <c r="O66"/>
      <c r="P66" s="1"/>
      <c r="Q66" s="1"/>
      <c r="R66" s="1"/>
      <c r="S66" s="1"/>
      <c r="T66" s="1"/>
      <c r="U66" s="1"/>
      <c r="V66" s="1"/>
      <c r="W66" s="1"/>
      <c r="X66" s="1"/>
      <c r="AA66" s="419"/>
      <c r="AB66" s="419"/>
      <c r="AC66" s="419"/>
      <c r="AD66" s="419"/>
      <c r="AE66" s="419"/>
      <c r="AF66" s="419"/>
      <c r="AK66" s="444"/>
      <c r="AL66" s="444"/>
    </row>
    <row r="67" spans="1:38" ht="18" customHeight="1" x14ac:dyDescent="0.2">
      <c r="A67" s="1"/>
      <c r="M67" s="1"/>
      <c r="N67" s="1"/>
      <c r="O67" s="1"/>
      <c r="P67" s="1"/>
      <c r="Q67" s="1"/>
      <c r="R67" s="1"/>
      <c r="S67" s="1"/>
      <c r="T67" s="1"/>
      <c r="U67" s="1"/>
      <c r="V67" s="1"/>
      <c r="W67" s="1"/>
      <c r="X67" s="1"/>
      <c r="AA67" s="419"/>
      <c r="AB67" s="419"/>
      <c r="AC67" s="419"/>
      <c r="AD67" s="419"/>
      <c r="AE67" s="419"/>
      <c r="AF67" s="419"/>
      <c r="AK67" s="444"/>
      <c r="AL67" s="444"/>
    </row>
    <row r="68" spans="1:38" ht="33" customHeight="1" x14ac:dyDescent="0.2">
      <c r="A68" s="1"/>
      <c r="C68" s="407" t="s">
        <v>709</v>
      </c>
      <c r="D68" s="407" t="s">
        <v>710</v>
      </c>
      <c r="E68" s="407" t="s">
        <v>711</v>
      </c>
      <c r="F68" s="407" t="s">
        <v>712</v>
      </c>
      <c r="G68" s="407" t="s">
        <v>713</v>
      </c>
      <c r="H68" s="407" t="s">
        <v>714</v>
      </c>
      <c r="I68" s="407" t="s">
        <v>715</v>
      </c>
      <c r="J68" s="407" t="s">
        <v>716</v>
      </c>
      <c r="K68" s="407" t="s">
        <v>717</v>
      </c>
      <c r="L68" s="407" t="s">
        <v>718</v>
      </c>
      <c r="M68" s="407" t="s">
        <v>719</v>
      </c>
      <c r="O68" s="1"/>
      <c r="P68" s="1"/>
      <c r="Q68" s="1"/>
      <c r="R68" s="1"/>
      <c r="S68" s="1"/>
      <c r="T68" s="1"/>
      <c r="U68" s="1"/>
      <c r="V68" s="1"/>
      <c r="W68" s="1"/>
      <c r="X68" s="1"/>
      <c r="AA68" s="419"/>
      <c r="AB68" s="419"/>
      <c r="AC68" s="419"/>
      <c r="AD68" s="419"/>
      <c r="AE68" s="419"/>
      <c r="AF68" s="419"/>
      <c r="AK68" s="444"/>
      <c r="AL68" s="444"/>
    </row>
    <row r="69" spans="1:38" ht="18" customHeight="1" x14ac:dyDescent="0.2">
      <c r="A69" s="1"/>
      <c r="B69" s="419" t="str">
        <f t="shared" ref="B69:B74" si="29">B54</f>
        <v>Mob 1</v>
      </c>
      <c r="C69" s="448"/>
      <c r="D69" s="411">
        <f t="shared" ref="D69:D74" si="30">C69*L54</f>
        <v>0</v>
      </c>
      <c r="E69" s="449">
        <v>5</v>
      </c>
      <c r="F69" s="449"/>
      <c r="G69" s="449"/>
      <c r="H69" s="411">
        <f t="shared" ref="H69:H74" si="31">(E69*H54)+(F69*H54)+G69</f>
        <v>994</v>
      </c>
      <c r="I69" s="450">
        <v>421</v>
      </c>
      <c r="J69" s="451">
        <v>1.9</v>
      </c>
      <c r="K69" s="450">
        <v>20</v>
      </c>
      <c r="L69" s="411">
        <f t="shared" ref="L69:L74" si="32">IF(K69=0,0,IF(H54&lt;=0,0,H54*I69*J69/K69))</f>
        <v>7951.0059999999994</v>
      </c>
      <c r="M69" s="433">
        <f t="shared" ref="M69:M74" si="33">IF(L69&lt;=0,0,L69/H54)</f>
        <v>39.994999999999997</v>
      </c>
      <c r="O69" s="1"/>
      <c r="P69" s="1"/>
      <c r="Q69" s="1"/>
      <c r="R69" s="1"/>
      <c r="S69" s="1"/>
      <c r="T69" s="1"/>
      <c r="U69" s="1"/>
      <c r="V69" s="1"/>
      <c r="W69" s="1"/>
      <c r="X69" s="1"/>
      <c r="AA69" s="419"/>
      <c r="AB69" s="419"/>
      <c r="AC69" s="419"/>
      <c r="AD69" s="419"/>
      <c r="AE69" s="419"/>
      <c r="AF69" s="419"/>
      <c r="AK69" s="444"/>
      <c r="AL69" s="444"/>
    </row>
    <row r="70" spans="1:38" ht="18" customHeight="1" x14ac:dyDescent="0.2">
      <c r="A70" s="1"/>
      <c r="B70" s="419" t="str">
        <f t="shared" si="29"/>
        <v>Mob 2</v>
      </c>
      <c r="C70" s="448"/>
      <c r="D70" s="411">
        <f t="shared" si="30"/>
        <v>0</v>
      </c>
      <c r="E70" s="449"/>
      <c r="F70" s="449"/>
      <c r="G70" s="449"/>
      <c r="H70" s="411">
        <f t="shared" si="31"/>
        <v>0</v>
      </c>
      <c r="I70" s="450"/>
      <c r="J70" s="451"/>
      <c r="K70" s="450"/>
      <c r="L70" s="411">
        <f t="shared" si="32"/>
        <v>0</v>
      </c>
      <c r="M70" s="433">
        <f t="shared" si="33"/>
        <v>0</v>
      </c>
      <c r="O70" s="1"/>
      <c r="P70" s="1"/>
      <c r="Q70" s="1"/>
      <c r="R70" s="1"/>
      <c r="S70" s="1"/>
      <c r="T70" s="1"/>
      <c r="U70" s="1"/>
      <c r="V70" s="1"/>
      <c r="W70" s="1"/>
      <c r="X70" s="1"/>
      <c r="AA70" s="419"/>
      <c r="AB70" s="419"/>
      <c r="AC70" s="419"/>
      <c r="AD70" s="419"/>
      <c r="AE70" s="419"/>
      <c r="AF70" s="419"/>
      <c r="AK70" s="444"/>
      <c r="AL70" s="444"/>
    </row>
    <row r="71" spans="1:38" ht="18" customHeight="1" x14ac:dyDescent="0.2">
      <c r="A71" s="1"/>
      <c r="B71" s="419" t="str">
        <f t="shared" si="29"/>
        <v>Mob 3</v>
      </c>
      <c r="C71" s="448"/>
      <c r="D71" s="411">
        <f t="shared" si="30"/>
        <v>0</v>
      </c>
      <c r="E71" s="449"/>
      <c r="F71" s="449"/>
      <c r="G71" s="449"/>
      <c r="H71" s="411">
        <f t="shared" si="31"/>
        <v>0</v>
      </c>
      <c r="I71" s="450"/>
      <c r="J71" s="451"/>
      <c r="K71" s="450"/>
      <c r="L71" s="411">
        <f t="shared" si="32"/>
        <v>0</v>
      </c>
      <c r="M71" s="433">
        <f t="shared" si="33"/>
        <v>0</v>
      </c>
      <c r="O71" s="1"/>
      <c r="P71" s="1"/>
      <c r="Q71" s="1"/>
      <c r="R71" s="1"/>
      <c r="S71" s="1"/>
      <c r="T71" s="1"/>
      <c r="U71" s="1"/>
      <c r="V71" s="1"/>
      <c r="W71" s="1"/>
      <c r="X71" s="1"/>
      <c r="AI71" s="444"/>
      <c r="AJ71" s="444"/>
      <c r="AK71" s="444"/>
      <c r="AL71" s="444"/>
    </row>
    <row r="72" spans="1:38" ht="18" customHeight="1" x14ac:dyDescent="0.2">
      <c r="A72" s="1"/>
      <c r="B72" s="419" t="str">
        <f t="shared" si="29"/>
        <v>Mob 4</v>
      </c>
      <c r="C72" s="448"/>
      <c r="D72" s="411">
        <f t="shared" si="30"/>
        <v>0</v>
      </c>
      <c r="E72" s="449"/>
      <c r="F72" s="449"/>
      <c r="G72" s="449"/>
      <c r="H72" s="411">
        <f t="shared" si="31"/>
        <v>0</v>
      </c>
      <c r="I72" s="450"/>
      <c r="J72" s="451"/>
      <c r="K72" s="450"/>
      <c r="L72" s="411">
        <f t="shared" si="32"/>
        <v>0</v>
      </c>
      <c r="M72" s="433">
        <f t="shared" si="33"/>
        <v>0</v>
      </c>
      <c r="O72" s="1"/>
      <c r="P72" s="1"/>
      <c r="Q72" s="1"/>
      <c r="R72" s="1"/>
      <c r="S72" s="1"/>
      <c r="T72" s="1"/>
      <c r="U72" s="1"/>
      <c r="V72" s="1"/>
      <c r="W72" s="1"/>
      <c r="X72" s="1"/>
      <c r="AI72" s="444"/>
      <c r="AJ72" s="444"/>
      <c r="AK72" s="444"/>
      <c r="AL72" s="444"/>
    </row>
    <row r="73" spans="1:38" ht="18" customHeight="1" x14ac:dyDescent="0.2">
      <c r="A73" s="1"/>
      <c r="B73" s="419" t="str">
        <f t="shared" si="29"/>
        <v>Mob 5</v>
      </c>
      <c r="C73" s="448"/>
      <c r="D73" s="411">
        <f t="shared" si="30"/>
        <v>0</v>
      </c>
      <c r="E73" s="449"/>
      <c r="F73" s="449"/>
      <c r="G73" s="449"/>
      <c r="H73" s="411">
        <f t="shared" si="31"/>
        <v>0</v>
      </c>
      <c r="I73" s="450"/>
      <c r="J73" s="451"/>
      <c r="K73" s="450"/>
      <c r="L73" s="411">
        <f t="shared" si="32"/>
        <v>0</v>
      </c>
      <c r="M73" s="433">
        <f t="shared" si="33"/>
        <v>0</v>
      </c>
      <c r="O73" s="1"/>
      <c r="P73" s="1"/>
      <c r="Q73" s="1"/>
      <c r="R73" s="1"/>
      <c r="S73" s="1"/>
      <c r="T73" s="1"/>
      <c r="U73" s="1"/>
      <c r="V73" s="1"/>
      <c r="W73" s="1"/>
      <c r="X73" s="1"/>
      <c r="Y73"/>
      <c r="Z73"/>
      <c r="AA73"/>
      <c r="AB73"/>
      <c r="AC73"/>
      <c r="AD73"/>
      <c r="AE73"/>
      <c r="AF73"/>
      <c r="AI73" s="444"/>
      <c r="AJ73" s="444"/>
      <c r="AK73" s="444"/>
      <c r="AL73" s="444"/>
    </row>
    <row r="74" spans="1:38" ht="18" customHeight="1" x14ac:dyDescent="0.2">
      <c r="A74" s="1"/>
      <c r="B74" s="419" t="str">
        <f t="shared" si="29"/>
        <v>Mob 6</v>
      </c>
      <c r="C74" s="448"/>
      <c r="D74" s="411">
        <f t="shared" si="30"/>
        <v>0</v>
      </c>
      <c r="E74" s="449"/>
      <c r="F74" s="449"/>
      <c r="G74" s="449"/>
      <c r="H74" s="411">
        <f t="shared" si="31"/>
        <v>0</v>
      </c>
      <c r="I74" s="450"/>
      <c r="J74" s="451"/>
      <c r="K74" s="450"/>
      <c r="L74" s="411">
        <f t="shared" si="32"/>
        <v>0</v>
      </c>
      <c r="M74" s="433">
        <f t="shared" si="33"/>
        <v>0</v>
      </c>
      <c r="O74" s="1"/>
      <c r="P74" s="1"/>
      <c r="Q74" s="1"/>
      <c r="R74" s="1"/>
      <c r="S74" s="1"/>
      <c r="T74" s="1"/>
      <c r="U74" s="1"/>
      <c r="V74" s="1"/>
      <c r="W74" s="1"/>
      <c r="X74" s="1"/>
      <c r="Y74"/>
      <c r="Z74"/>
      <c r="AA74"/>
      <c r="AB74"/>
      <c r="AC74"/>
      <c r="AD74"/>
      <c r="AE74"/>
      <c r="AF74"/>
      <c r="AI74" s="444"/>
      <c r="AJ74" s="444"/>
      <c r="AK74" s="444"/>
      <c r="AL74" s="444"/>
    </row>
    <row r="75" spans="1:38" ht="18" customHeight="1" thickBot="1" x14ac:dyDescent="0.25">
      <c r="A75" s="1"/>
      <c r="C75" s="1"/>
      <c r="D75" s="440">
        <f>SUM(D69:D74)</f>
        <v>0</v>
      </c>
      <c r="E75" s="1"/>
      <c r="F75" s="1"/>
      <c r="G75" s="1"/>
      <c r="H75" s="440">
        <f>SUM(H69:H74)</f>
        <v>994</v>
      </c>
      <c r="I75" s="1"/>
      <c r="J75" s="1"/>
      <c r="K75" s="1"/>
      <c r="L75" s="440">
        <f>SUM(L69:L74)</f>
        <v>7951.0059999999994</v>
      </c>
      <c r="M75" s="1"/>
      <c r="O75" s="1"/>
      <c r="P75" s="1"/>
      <c r="Q75" s="1"/>
      <c r="R75" s="1"/>
      <c r="S75" s="1"/>
      <c r="T75" s="1"/>
      <c r="U75" s="1"/>
      <c r="V75" s="1"/>
      <c r="W75" s="1"/>
      <c r="X75" s="1"/>
      <c r="Y75"/>
      <c r="Z75"/>
      <c r="AA75"/>
      <c r="AB75"/>
      <c r="AC75"/>
      <c r="AD75"/>
      <c r="AE75"/>
      <c r="AF75"/>
      <c r="AI75" s="444"/>
      <c r="AJ75" s="444"/>
      <c r="AK75" s="444"/>
      <c r="AL75" s="444"/>
    </row>
    <row r="76" spans="1:38" ht="18" customHeight="1" thickTop="1" x14ac:dyDescent="0.2">
      <c r="A76" s="1"/>
      <c r="B76" s="1"/>
      <c r="C76" s="1"/>
      <c r="D76" s="1"/>
      <c r="E76" s="1"/>
      <c r="F76" s="1"/>
      <c r="G76" s="1"/>
      <c r="H76" s="1"/>
      <c r="I76" s="1"/>
      <c r="J76" s="1"/>
      <c r="K76" s="1"/>
      <c r="L76" s="1"/>
      <c r="M76" s="1"/>
      <c r="N76" s="1"/>
      <c r="O76" s="1"/>
      <c r="P76" s="1"/>
      <c r="Q76" s="1"/>
      <c r="R76" s="1"/>
      <c r="S76" s="1"/>
      <c r="T76" s="1"/>
      <c r="U76" s="1"/>
      <c r="V76" s="1"/>
      <c r="W76" s="1"/>
      <c r="X76" s="1"/>
      <c r="Y76"/>
      <c r="Z76"/>
      <c r="AA76"/>
      <c r="AB76"/>
      <c r="AC76"/>
      <c r="AD76"/>
      <c r="AE76"/>
      <c r="AF76"/>
      <c r="AI76" s="444"/>
      <c r="AJ76" s="444"/>
      <c r="AK76" s="444"/>
      <c r="AL76" s="444"/>
    </row>
    <row r="77" spans="1:38" ht="18" customHeight="1" x14ac:dyDescent="0.2">
      <c r="A77" s="1"/>
      <c r="L77" s="1"/>
      <c r="M77" s="1"/>
      <c r="N77" s="1"/>
      <c r="O77" s="1"/>
      <c r="P77" s="1"/>
      <c r="Q77" s="1"/>
      <c r="R77" s="1"/>
      <c r="S77" s="1"/>
      <c r="T77" s="1"/>
      <c r="U77" s="1"/>
      <c r="V77" s="1"/>
      <c r="W77" s="1"/>
      <c r="X77" s="1"/>
      <c r="Y77"/>
      <c r="Z77"/>
      <c r="AA77"/>
      <c r="AB77"/>
      <c r="AC77"/>
      <c r="AD77"/>
      <c r="AE77"/>
      <c r="AF77"/>
      <c r="AI77" s="444"/>
      <c r="AJ77" s="444"/>
      <c r="AK77" s="444"/>
      <c r="AL77" s="444"/>
    </row>
    <row r="78" spans="1:38" ht="18" customHeight="1" x14ac:dyDescent="0.2">
      <c r="A78" s="1"/>
      <c r="B78" s="1"/>
      <c r="C78" s="1"/>
      <c r="D78" s="1"/>
      <c r="E78" s="1"/>
      <c r="F78" s="1"/>
      <c r="G78" s="1"/>
      <c r="H78" s="1"/>
      <c r="I78" s="1"/>
      <c r="J78" s="1"/>
      <c r="K78" s="1"/>
      <c r="L78" s="1"/>
      <c r="M78" s="1"/>
      <c r="N78" s="1"/>
      <c r="O78" s="1"/>
      <c r="P78" s="1"/>
      <c r="Q78" s="1"/>
      <c r="R78" s="1"/>
      <c r="S78" s="1"/>
      <c r="T78" s="1"/>
      <c r="U78" s="1"/>
      <c r="V78" s="1"/>
      <c r="W78" s="1"/>
      <c r="X78" s="1"/>
      <c r="AA78" s="419"/>
      <c r="AB78" s="419"/>
      <c r="AC78" s="419"/>
      <c r="AD78" s="419"/>
      <c r="AE78" s="419"/>
      <c r="AF78" s="419"/>
      <c r="AI78" s="444"/>
      <c r="AJ78" s="444"/>
      <c r="AK78" s="444"/>
      <c r="AL78" s="444"/>
    </row>
    <row r="79" spans="1:38" ht="18" customHeight="1" x14ac:dyDescent="0.25">
      <c r="A79" s="1"/>
      <c r="B79" s="5" t="s">
        <v>396</v>
      </c>
      <c r="C79" s="1"/>
      <c r="D79" s="1"/>
      <c r="E79" s="1"/>
      <c r="F79" s="1"/>
      <c r="G79" s="1"/>
      <c r="H79" s="1"/>
      <c r="I79" s="1"/>
      <c r="J79" s="1"/>
      <c r="K79" s="1"/>
      <c r="L79" s="1"/>
      <c r="M79" s="1"/>
      <c r="N79" s="1"/>
      <c r="O79" s="1"/>
      <c r="P79" s="1"/>
      <c r="Q79" s="1"/>
      <c r="R79" s="1"/>
      <c r="S79" s="1"/>
      <c r="T79" s="1"/>
      <c r="U79" s="1"/>
      <c r="V79" s="1"/>
      <c r="W79" s="1"/>
      <c r="X79" s="1"/>
      <c r="AA79" s="419"/>
      <c r="AB79" s="419"/>
      <c r="AC79" s="419"/>
      <c r="AD79" s="419"/>
      <c r="AE79" s="419"/>
      <c r="AF79" s="419"/>
      <c r="AI79" s="444"/>
      <c r="AJ79" s="444"/>
      <c r="AK79" s="444"/>
      <c r="AL79" s="444"/>
    </row>
    <row r="80" spans="1:38" x14ac:dyDescent="0.2">
      <c r="A80" s="1"/>
      <c r="B80" s="1"/>
      <c r="C80" s="1"/>
      <c r="D80" s="1"/>
      <c r="E80" s="1"/>
      <c r="F80" s="1"/>
      <c r="G80" s="1"/>
      <c r="H80" s="1"/>
      <c r="I80" s="1"/>
      <c r="J80" s="1"/>
      <c r="K80" s="1"/>
      <c r="L80" s="1"/>
      <c r="M80" s="1"/>
      <c r="N80" s="1"/>
      <c r="O80" s="1"/>
      <c r="P80" s="1"/>
      <c r="Q80" s="1"/>
      <c r="R80" s="1"/>
      <c r="S80" s="1"/>
      <c r="T80" s="1"/>
      <c r="U80" s="1"/>
      <c r="V80" s="1"/>
      <c r="W80" s="1"/>
      <c r="X80" s="1"/>
      <c r="AA80" s="419"/>
      <c r="AB80" s="419"/>
      <c r="AC80" s="419"/>
      <c r="AD80" s="419"/>
      <c r="AE80" s="419"/>
      <c r="AF80" s="419"/>
      <c r="AI80" s="444"/>
      <c r="AJ80" s="444"/>
      <c r="AK80" s="444"/>
      <c r="AL80" s="444"/>
    </row>
    <row r="81" spans="1:32" ht="33" customHeight="1" x14ac:dyDescent="0.2">
      <c r="A81" s="1"/>
      <c r="B81" s="1"/>
      <c r="C81" s="408" t="s">
        <v>892</v>
      </c>
      <c r="D81" s="408" t="s">
        <v>721</v>
      </c>
      <c r="E81" s="408" t="s">
        <v>722</v>
      </c>
      <c r="F81" s="408" t="s">
        <v>723</v>
      </c>
      <c r="G81" s="408" t="s">
        <v>724</v>
      </c>
      <c r="H81" s="408" t="s">
        <v>725</v>
      </c>
      <c r="I81" s="1"/>
      <c r="J81" s="1"/>
      <c r="K81" s="1"/>
      <c r="L81" s="1"/>
      <c r="M81" s="1"/>
      <c r="N81" s="1"/>
      <c r="O81" s="1"/>
      <c r="P81" s="1"/>
      <c r="Q81" s="1"/>
      <c r="R81" s="1"/>
      <c r="S81" s="1"/>
      <c r="T81" s="1"/>
      <c r="U81" s="1"/>
      <c r="V81" s="1"/>
      <c r="W81" s="1"/>
      <c r="X81" s="1"/>
      <c r="AA81" s="419"/>
      <c r="AB81" s="419"/>
      <c r="AC81" s="419"/>
      <c r="AD81" s="419"/>
      <c r="AE81" s="419"/>
      <c r="AF81" s="419"/>
    </row>
    <row r="82" spans="1:32" x14ac:dyDescent="0.2">
      <c r="A82" s="1"/>
      <c r="B82" s="1" t="s">
        <v>698</v>
      </c>
      <c r="C82" s="409">
        <f t="shared" ref="C82:C87" si="34">C41</f>
        <v>198.8</v>
      </c>
      <c r="D82" s="409">
        <f t="shared" ref="D82:D87" si="35">D54</f>
        <v>90</v>
      </c>
      <c r="E82" s="411">
        <f t="shared" ref="E82:E87" si="36">G16</f>
        <v>795.2</v>
      </c>
      <c r="F82" s="411">
        <f t="shared" ref="F82:F87" si="37">E82*C82</f>
        <v>158085.76000000001</v>
      </c>
      <c r="G82" s="452">
        <v>0.05</v>
      </c>
      <c r="H82" s="411">
        <f t="shared" ref="H82:H87" si="38">F82*G82*D82/365</f>
        <v>1949.0025205479453</v>
      </c>
      <c r="I82" s="1"/>
      <c r="J82" s="1"/>
      <c r="K82" s="1"/>
      <c r="L82" s="1"/>
      <c r="M82" s="1"/>
      <c r="N82" s="1"/>
      <c r="O82" s="1"/>
      <c r="P82" s="1"/>
      <c r="Q82" s="1"/>
      <c r="R82" s="1"/>
      <c r="S82" s="1"/>
      <c r="T82" s="1"/>
      <c r="U82" s="1"/>
      <c r="V82" s="1"/>
      <c r="W82" s="1"/>
      <c r="X82" s="1"/>
      <c r="AA82" s="419"/>
      <c r="AB82" s="419"/>
      <c r="AC82" s="419"/>
      <c r="AD82" s="419"/>
      <c r="AE82" s="419"/>
      <c r="AF82" s="419"/>
    </row>
    <row r="83" spans="1:32" x14ac:dyDescent="0.2">
      <c r="A83" s="1"/>
      <c r="B83" s="1" t="s">
        <v>699</v>
      </c>
      <c r="C83" s="409">
        <f t="shared" si="34"/>
        <v>0</v>
      </c>
      <c r="D83" s="409">
        <f t="shared" si="35"/>
        <v>0</v>
      </c>
      <c r="E83" s="411">
        <f t="shared" si="36"/>
        <v>0</v>
      </c>
      <c r="F83" s="411">
        <f t="shared" si="37"/>
        <v>0</v>
      </c>
      <c r="G83" s="452">
        <v>0.05</v>
      </c>
      <c r="H83" s="411">
        <f t="shared" si="38"/>
        <v>0</v>
      </c>
      <c r="I83" s="1"/>
      <c r="J83" s="1"/>
      <c r="K83" s="1"/>
      <c r="L83" s="1"/>
      <c r="M83" s="1"/>
      <c r="N83" s="1"/>
      <c r="O83" s="1"/>
      <c r="P83" s="1"/>
      <c r="Q83" s="1"/>
      <c r="R83" s="1"/>
      <c r="S83" s="1"/>
      <c r="T83" s="1"/>
      <c r="U83" s="1"/>
      <c r="V83" s="1"/>
      <c r="W83" s="1"/>
      <c r="X83" s="1"/>
      <c r="AA83" s="419"/>
      <c r="AB83" s="419"/>
      <c r="AC83" s="419"/>
      <c r="AD83" s="419"/>
      <c r="AE83" s="419"/>
      <c r="AF83" s="419"/>
    </row>
    <row r="84" spans="1:32" x14ac:dyDescent="0.2">
      <c r="A84" s="1"/>
      <c r="B84" s="1" t="s">
        <v>700</v>
      </c>
      <c r="C84" s="409">
        <f t="shared" si="34"/>
        <v>0</v>
      </c>
      <c r="D84" s="409">
        <f t="shared" si="35"/>
        <v>0</v>
      </c>
      <c r="E84" s="411">
        <f t="shared" si="36"/>
        <v>0</v>
      </c>
      <c r="F84" s="411">
        <f t="shared" si="37"/>
        <v>0</v>
      </c>
      <c r="G84" s="452">
        <v>0.05</v>
      </c>
      <c r="H84" s="411">
        <f t="shared" si="38"/>
        <v>0</v>
      </c>
      <c r="I84" s="1"/>
      <c r="J84" s="1"/>
      <c r="K84" s="1"/>
      <c r="L84" s="1"/>
      <c r="M84" s="1"/>
      <c r="N84" s="1"/>
      <c r="O84" s="1"/>
      <c r="P84" s="1"/>
      <c r="Q84" s="1"/>
      <c r="R84" s="1"/>
      <c r="S84" s="1"/>
      <c r="T84" s="1"/>
      <c r="U84" s="1"/>
      <c r="V84" s="1"/>
      <c r="W84" s="1"/>
      <c r="X84" s="1"/>
      <c r="AA84" s="419"/>
      <c r="AB84" s="419"/>
      <c r="AC84" s="419"/>
      <c r="AD84" s="419"/>
      <c r="AE84" s="419"/>
      <c r="AF84" s="419"/>
    </row>
    <row r="85" spans="1:32" x14ac:dyDescent="0.2">
      <c r="A85" s="1"/>
      <c r="B85" s="1" t="s">
        <v>701</v>
      </c>
      <c r="C85" s="409">
        <f t="shared" si="34"/>
        <v>0</v>
      </c>
      <c r="D85" s="409">
        <f t="shared" si="35"/>
        <v>0</v>
      </c>
      <c r="E85" s="411">
        <f t="shared" si="36"/>
        <v>0</v>
      </c>
      <c r="F85" s="411">
        <f t="shared" si="37"/>
        <v>0</v>
      </c>
      <c r="G85" s="452">
        <v>0.05</v>
      </c>
      <c r="H85" s="411">
        <f t="shared" si="38"/>
        <v>0</v>
      </c>
      <c r="I85" s="1"/>
      <c r="J85" s="1"/>
      <c r="K85" s="1"/>
      <c r="L85" s="1"/>
      <c r="M85" s="1"/>
      <c r="N85" s="1"/>
      <c r="O85" s="1"/>
      <c r="P85" s="1"/>
      <c r="Q85" s="1"/>
      <c r="R85" s="1"/>
      <c r="S85" s="1"/>
      <c r="T85" s="1"/>
      <c r="U85" s="1"/>
      <c r="V85" s="1"/>
      <c r="W85" s="1"/>
      <c r="X85" s="1"/>
      <c r="AA85" s="419"/>
      <c r="AB85" s="419"/>
      <c r="AC85" s="419"/>
      <c r="AD85" s="419"/>
      <c r="AE85" s="419"/>
      <c r="AF85" s="419"/>
    </row>
    <row r="86" spans="1:32" x14ac:dyDescent="0.2">
      <c r="A86" s="1"/>
      <c r="B86" s="1" t="s">
        <v>702</v>
      </c>
      <c r="C86" s="409">
        <f t="shared" si="34"/>
        <v>0</v>
      </c>
      <c r="D86" s="409">
        <f t="shared" si="35"/>
        <v>0</v>
      </c>
      <c r="E86" s="411">
        <f t="shared" si="36"/>
        <v>0</v>
      </c>
      <c r="F86" s="411">
        <f t="shared" si="37"/>
        <v>0</v>
      </c>
      <c r="G86" s="452">
        <v>0.05</v>
      </c>
      <c r="H86" s="411">
        <f t="shared" si="38"/>
        <v>0</v>
      </c>
      <c r="I86" s="1"/>
      <c r="J86" s="1"/>
      <c r="K86" s="1"/>
      <c r="L86" s="1"/>
      <c r="M86" s="1"/>
      <c r="N86" s="1"/>
      <c r="O86" s="1"/>
      <c r="P86" s="1"/>
      <c r="Q86" s="1"/>
      <c r="R86" s="1"/>
      <c r="S86" s="1"/>
      <c r="T86" s="1"/>
      <c r="U86" s="1"/>
      <c r="V86" s="1"/>
      <c r="W86" s="1"/>
      <c r="X86" s="1"/>
      <c r="AA86" s="419"/>
      <c r="AB86" s="419"/>
      <c r="AC86" s="419"/>
      <c r="AD86" s="419"/>
      <c r="AE86" s="419"/>
      <c r="AF86" s="419"/>
    </row>
    <row r="87" spans="1:32" x14ac:dyDescent="0.2">
      <c r="A87" s="1"/>
      <c r="B87" s="1" t="s">
        <v>703</v>
      </c>
      <c r="C87" s="409">
        <f t="shared" si="34"/>
        <v>0</v>
      </c>
      <c r="D87" s="409">
        <f t="shared" si="35"/>
        <v>0</v>
      </c>
      <c r="E87" s="411">
        <f t="shared" si="36"/>
        <v>0</v>
      </c>
      <c r="F87" s="411">
        <f t="shared" si="37"/>
        <v>0</v>
      </c>
      <c r="G87" s="452">
        <v>0.05</v>
      </c>
      <c r="H87" s="411">
        <f t="shared" si="38"/>
        <v>0</v>
      </c>
      <c r="I87" s="1"/>
      <c r="J87" s="1"/>
      <c r="K87" s="1"/>
      <c r="L87" s="1"/>
      <c r="M87" s="1"/>
      <c r="N87" s="1"/>
      <c r="O87" s="1"/>
      <c r="P87" s="1"/>
      <c r="Q87" s="1"/>
      <c r="R87" s="1"/>
      <c r="S87" s="1"/>
      <c r="T87" s="1"/>
      <c r="U87" s="1"/>
      <c r="V87" s="1"/>
      <c r="W87" s="1"/>
      <c r="X87" s="1"/>
      <c r="AA87" s="419"/>
      <c r="AB87" s="419"/>
      <c r="AC87" s="419"/>
      <c r="AD87" s="419"/>
      <c r="AE87" s="419"/>
      <c r="AF87" s="419"/>
    </row>
    <row r="88" spans="1:32" ht="15.75" thickBot="1" x14ac:dyDescent="0.25">
      <c r="A88" s="1"/>
      <c r="B88" s="1"/>
      <c r="C88" s="1"/>
      <c r="D88" s="1"/>
      <c r="E88" s="1"/>
      <c r="F88" s="1" t="s">
        <v>726</v>
      </c>
      <c r="G88" s="1"/>
      <c r="H88" s="440">
        <f>SUM(H82:H87)</f>
        <v>1949.0025205479453</v>
      </c>
      <c r="I88" s="1"/>
      <c r="J88" s="1"/>
      <c r="K88" s="1"/>
      <c r="L88" s="1"/>
      <c r="M88" s="1"/>
      <c r="N88" s="1"/>
      <c r="O88" s="1"/>
      <c r="P88" s="1"/>
      <c r="Q88" s="1"/>
      <c r="R88" s="1"/>
      <c r="S88" s="1"/>
      <c r="T88" s="1"/>
      <c r="U88" s="1"/>
      <c r="V88" s="1"/>
      <c r="W88" s="1"/>
      <c r="X88" s="1"/>
      <c r="Y88" s="1"/>
      <c r="Z88" s="1"/>
      <c r="AA88" s="6"/>
    </row>
    <row r="89" spans="1:32" ht="15.75" thickTop="1" x14ac:dyDescent="0.2">
      <c r="A89" s="1"/>
      <c r="B89" s="1"/>
      <c r="C89" s="1"/>
      <c r="D89" s="1"/>
      <c r="E89" s="1"/>
      <c r="F89" s="1"/>
      <c r="G89" s="1"/>
      <c r="H89" s="1"/>
      <c r="I89" s="1"/>
      <c r="J89" s="1"/>
      <c r="K89" s="1"/>
      <c r="L89" s="1"/>
      <c r="M89" s="1"/>
      <c r="N89" s="1"/>
      <c r="O89" s="1"/>
      <c r="P89" s="1"/>
      <c r="Q89" s="1"/>
      <c r="R89" s="1"/>
      <c r="S89" s="1"/>
      <c r="T89" s="1"/>
      <c r="U89" s="1"/>
      <c r="V89" s="1"/>
      <c r="W89" s="1"/>
      <c r="X89" s="1"/>
      <c r="Y89" s="1"/>
      <c r="Z89" s="1"/>
      <c r="AA89" s="6"/>
    </row>
    <row r="90" spans="1:32" x14ac:dyDescent="0.2">
      <c r="A90" s="1"/>
      <c r="B90" s="1"/>
      <c r="C90" s="1"/>
      <c r="D90" s="1"/>
      <c r="E90" s="1"/>
      <c r="F90" s="1"/>
      <c r="G90" s="1"/>
      <c r="H90" s="1"/>
      <c r="I90" s="1"/>
      <c r="J90" s="1"/>
      <c r="K90" s="1"/>
      <c r="L90" s="1"/>
      <c r="M90" s="1"/>
      <c r="N90" s="1"/>
      <c r="O90" s="1"/>
      <c r="P90" s="1"/>
      <c r="Q90" s="1"/>
      <c r="R90" s="1"/>
      <c r="S90" s="1"/>
      <c r="T90" s="1"/>
      <c r="U90" s="1"/>
      <c r="V90" s="1"/>
      <c r="W90" s="1"/>
      <c r="X90" s="1"/>
      <c r="Y90" s="1"/>
      <c r="Z90" s="1"/>
      <c r="AA90" s="6"/>
    </row>
    <row r="91" spans="1:32" ht="15.75" x14ac:dyDescent="0.25">
      <c r="A91" s="1"/>
      <c r="B91" s="5" t="s">
        <v>727</v>
      </c>
      <c r="C91" s="1"/>
      <c r="D91" s="1"/>
      <c r="E91" s="1"/>
      <c r="F91" s="1"/>
      <c r="G91" s="1"/>
      <c r="H91" s="1"/>
      <c r="I91" s="1"/>
      <c r="J91" s="1"/>
      <c r="K91" s="1"/>
      <c r="L91" s="1"/>
      <c r="M91" s="1"/>
      <c r="N91" s="1"/>
      <c r="O91" s="1"/>
      <c r="P91" s="1"/>
      <c r="Q91" s="1"/>
      <c r="R91" s="1"/>
      <c r="S91" s="1"/>
      <c r="T91" s="1"/>
      <c r="U91" s="1"/>
      <c r="V91" s="1"/>
      <c r="W91" s="1"/>
      <c r="X91" s="1"/>
      <c r="Y91" s="1"/>
      <c r="Z91" s="1"/>
      <c r="AA91" s="6"/>
    </row>
    <row r="92" spans="1:32" x14ac:dyDescent="0.2">
      <c r="A92" s="1"/>
      <c r="B92" s="1"/>
      <c r="C92" s="1"/>
      <c r="D92" s="1"/>
      <c r="E92" s="1"/>
      <c r="F92" s="1"/>
      <c r="G92" s="1"/>
      <c r="H92" s="1"/>
      <c r="I92" s="1"/>
      <c r="J92" s="1"/>
      <c r="K92" s="1"/>
      <c r="L92" s="1"/>
      <c r="M92" s="1"/>
      <c r="N92" s="1"/>
      <c r="O92" s="1"/>
      <c r="P92" s="1"/>
      <c r="Q92" s="1"/>
      <c r="R92" s="1"/>
      <c r="S92" s="1"/>
      <c r="T92" s="1"/>
      <c r="U92" s="1"/>
      <c r="V92" s="1"/>
      <c r="W92" s="1"/>
      <c r="X92" s="1"/>
      <c r="Y92" s="1"/>
      <c r="Z92" s="1"/>
      <c r="AA92" s="6"/>
    </row>
    <row r="93" spans="1:32" ht="30" x14ac:dyDescent="0.2">
      <c r="A93" s="1"/>
      <c r="B93" s="1"/>
      <c r="C93" s="408" t="s">
        <v>892</v>
      </c>
      <c r="D93" s="408" t="s">
        <v>721</v>
      </c>
      <c r="E93" s="408" t="s">
        <v>728</v>
      </c>
      <c r="F93" s="408" t="s">
        <v>895</v>
      </c>
      <c r="G93" s="408" t="s">
        <v>673</v>
      </c>
      <c r="H93" s="408" t="s">
        <v>731</v>
      </c>
      <c r="I93" s="407" t="s">
        <v>659</v>
      </c>
      <c r="J93" s="407" t="s">
        <v>729</v>
      </c>
      <c r="K93" s="1"/>
      <c r="L93" s="1"/>
      <c r="M93" s="1"/>
      <c r="N93" s="1"/>
      <c r="O93" s="1"/>
      <c r="P93" s="1"/>
      <c r="Q93" s="1"/>
      <c r="R93" s="1"/>
      <c r="S93" s="1"/>
      <c r="T93" s="1"/>
      <c r="U93" s="1"/>
      <c r="V93" s="1"/>
      <c r="W93" s="1"/>
      <c r="X93" s="1"/>
      <c r="Y93" s="1"/>
      <c r="Z93" s="1"/>
      <c r="AA93" s="6"/>
    </row>
    <row r="94" spans="1:32" x14ac:dyDescent="0.2">
      <c r="A94" s="1"/>
      <c r="B94" s="1" t="s">
        <v>698</v>
      </c>
      <c r="C94" s="409">
        <f t="shared" ref="C94:C99" si="39">C41</f>
        <v>198.8</v>
      </c>
      <c r="D94" s="409">
        <f t="shared" ref="D94:D99" si="40">D54</f>
        <v>90</v>
      </c>
      <c r="E94" s="409">
        <f t="shared" ref="E94:E99" si="41">F16</f>
        <v>497</v>
      </c>
      <c r="F94" s="409">
        <f t="shared" ref="F94:F99" si="42">E54</f>
        <v>596</v>
      </c>
      <c r="G94" s="413">
        <f t="shared" ref="G94:G99" si="43">(POWER(((F94+E94)/2),0.75)/97.7)</f>
        <v>1.156905966855555</v>
      </c>
      <c r="H94" s="413">
        <f t="shared" ref="H94:H99" si="44">D94/365*G94*C94</f>
        <v>56.710579613642714</v>
      </c>
      <c r="I94" s="413">
        <f>IF(D8&lt;=0,0,H94/$D$8)</f>
        <v>0.5671057961364272</v>
      </c>
      <c r="J94" s="413">
        <f t="shared" ref="J94:J100" si="45">IF(H94&lt;=0,0,$D$8/H94)</f>
        <v>1.7633394100585644</v>
      </c>
      <c r="K94" s="1"/>
      <c r="L94" s="1"/>
      <c r="M94" s="1"/>
      <c r="N94" s="1"/>
      <c r="O94" s="1"/>
      <c r="P94" s="1"/>
      <c r="Q94" s="1"/>
      <c r="R94" s="1"/>
      <c r="S94" s="1"/>
      <c r="T94" s="1"/>
      <c r="U94" s="1"/>
      <c r="V94" s="1"/>
      <c r="W94" s="1"/>
      <c r="X94" s="1"/>
      <c r="Y94" s="1"/>
      <c r="Z94" s="1"/>
      <c r="AA94" s="6"/>
    </row>
    <row r="95" spans="1:32" x14ac:dyDescent="0.2">
      <c r="A95" s="1"/>
      <c r="B95" s="1" t="s">
        <v>699</v>
      </c>
      <c r="C95" s="409">
        <f t="shared" si="39"/>
        <v>0</v>
      </c>
      <c r="D95" s="409">
        <f t="shared" si="40"/>
        <v>0</v>
      </c>
      <c r="E95" s="409">
        <f t="shared" si="41"/>
        <v>0</v>
      </c>
      <c r="F95" s="409">
        <f t="shared" si="42"/>
        <v>0</v>
      </c>
      <c r="G95" s="413">
        <f t="shared" si="43"/>
        <v>0</v>
      </c>
      <c r="H95" s="413">
        <f t="shared" si="44"/>
        <v>0</v>
      </c>
      <c r="I95" s="413">
        <f>IF(D8&lt;=0,0,H95/$D$8)</f>
        <v>0</v>
      </c>
      <c r="J95" s="413">
        <f t="shared" si="45"/>
        <v>0</v>
      </c>
      <c r="K95" s="1"/>
      <c r="L95" s="1"/>
      <c r="M95" s="1"/>
      <c r="N95" s="1"/>
      <c r="O95" s="1"/>
      <c r="P95" s="1"/>
      <c r="Q95" s="1"/>
      <c r="R95" s="1"/>
      <c r="S95" s="1"/>
      <c r="T95" s="1"/>
      <c r="U95" s="1"/>
      <c r="V95" s="1"/>
      <c r="W95" s="1"/>
      <c r="X95" s="1"/>
      <c r="Y95" s="1"/>
      <c r="Z95" s="1"/>
      <c r="AA95" s="6"/>
    </row>
    <row r="96" spans="1:32" x14ac:dyDescent="0.2">
      <c r="A96" s="1"/>
      <c r="B96" s="1" t="s">
        <v>700</v>
      </c>
      <c r="C96" s="409">
        <f t="shared" si="39"/>
        <v>0</v>
      </c>
      <c r="D96" s="409">
        <f t="shared" si="40"/>
        <v>0</v>
      </c>
      <c r="E96" s="409">
        <f t="shared" si="41"/>
        <v>0</v>
      </c>
      <c r="F96" s="409">
        <f t="shared" si="42"/>
        <v>0</v>
      </c>
      <c r="G96" s="413">
        <f t="shared" si="43"/>
        <v>0</v>
      </c>
      <c r="H96" s="413">
        <f t="shared" si="44"/>
        <v>0</v>
      </c>
      <c r="I96" s="413">
        <f>IF(D8&lt;=0,0,H96/$D$8)</f>
        <v>0</v>
      </c>
      <c r="J96" s="413">
        <f t="shared" si="45"/>
        <v>0</v>
      </c>
      <c r="K96" s="1"/>
      <c r="L96" s="1"/>
      <c r="M96" s="1"/>
      <c r="N96" s="1"/>
      <c r="O96" s="1"/>
      <c r="P96" s="1"/>
      <c r="Q96" s="1"/>
      <c r="R96" s="1"/>
      <c r="S96" s="1"/>
      <c r="T96" s="1"/>
      <c r="U96" s="1"/>
      <c r="V96" s="1"/>
      <c r="W96" s="1"/>
      <c r="X96" s="1"/>
      <c r="Y96" s="1"/>
      <c r="Z96" s="1"/>
      <c r="AA96" s="6"/>
    </row>
    <row r="97" spans="1:44" x14ac:dyDescent="0.2">
      <c r="A97" s="1"/>
      <c r="B97" s="1" t="s">
        <v>701</v>
      </c>
      <c r="C97" s="409">
        <f t="shared" si="39"/>
        <v>0</v>
      </c>
      <c r="D97" s="409">
        <f t="shared" si="40"/>
        <v>0</v>
      </c>
      <c r="E97" s="409">
        <f t="shared" si="41"/>
        <v>0</v>
      </c>
      <c r="F97" s="409">
        <f t="shared" si="42"/>
        <v>0</v>
      </c>
      <c r="G97" s="413">
        <f t="shared" si="43"/>
        <v>0</v>
      </c>
      <c r="H97" s="413">
        <f t="shared" si="44"/>
        <v>0</v>
      </c>
      <c r="I97" s="413">
        <f>IF(D8&lt;=0,0,H97/$D$8)</f>
        <v>0</v>
      </c>
      <c r="J97" s="413">
        <f t="shared" si="45"/>
        <v>0</v>
      </c>
      <c r="K97" s="1"/>
      <c r="L97" s="1"/>
      <c r="M97" s="1"/>
      <c r="N97" s="1"/>
      <c r="O97" s="1"/>
      <c r="P97" s="1"/>
      <c r="Q97" s="1"/>
      <c r="R97" s="1"/>
      <c r="S97" s="1"/>
      <c r="T97" s="1"/>
      <c r="U97" s="1"/>
      <c r="V97" s="1"/>
      <c r="W97" s="1"/>
      <c r="X97" s="1"/>
      <c r="Y97" s="1"/>
      <c r="Z97" s="1"/>
      <c r="AA97" s="6"/>
    </row>
    <row r="98" spans="1:44" x14ac:dyDescent="0.2">
      <c r="A98" s="1"/>
      <c r="B98" s="1" t="s">
        <v>702</v>
      </c>
      <c r="C98" s="409">
        <f t="shared" si="39"/>
        <v>0</v>
      </c>
      <c r="D98" s="409">
        <f t="shared" si="40"/>
        <v>0</v>
      </c>
      <c r="E98" s="409">
        <f t="shared" si="41"/>
        <v>0</v>
      </c>
      <c r="F98" s="409">
        <f t="shared" si="42"/>
        <v>0</v>
      </c>
      <c r="G98" s="413">
        <f t="shared" si="43"/>
        <v>0</v>
      </c>
      <c r="H98" s="413">
        <f t="shared" si="44"/>
        <v>0</v>
      </c>
      <c r="I98" s="413">
        <f>IF(D8&lt;=0,0,H98/$D$8)</f>
        <v>0</v>
      </c>
      <c r="J98" s="413">
        <f t="shared" si="45"/>
        <v>0</v>
      </c>
      <c r="K98" s="1"/>
      <c r="L98" s="1"/>
      <c r="M98" s="1"/>
      <c r="N98" s="1"/>
      <c r="O98" s="1"/>
      <c r="P98" s="1"/>
      <c r="Q98" s="1"/>
      <c r="R98" s="1"/>
      <c r="S98" s="1"/>
      <c r="T98" s="1"/>
      <c r="U98" s="1"/>
      <c r="V98" s="1"/>
      <c r="W98" s="1"/>
      <c r="X98" s="1"/>
      <c r="Y98" s="1"/>
      <c r="Z98" s="1"/>
      <c r="AA98" s="6"/>
    </row>
    <row r="99" spans="1:44" x14ac:dyDescent="0.2">
      <c r="A99" s="1"/>
      <c r="B99" s="1" t="s">
        <v>703</v>
      </c>
      <c r="C99" s="409">
        <f t="shared" si="39"/>
        <v>0</v>
      </c>
      <c r="D99" s="409">
        <f t="shared" si="40"/>
        <v>0</v>
      </c>
      <c r="E99" s="409">
        <f t="shared" si="41"/>
        <v>0</v>
      </c>
      <c r="F99" s="409">
        <f t="shared" si="42"/>
        <v>0</v>
      </c>
      <c r="G99" s="413">
        <f t="shared" si="43"/>
        <v>0</v>
      </c>
      <c r="H99" s="413">
        <f t="shared" si="44"/>
        <v>0</v>
      </c>
      <c r="I99" s="413">
        <f>IF(D8&lt;=0,0,H99/$D$8)</f>
        <v>0</v>
      </c>
      <c r="J99" s="413">
        <f t="shared" si="45"/>
        <v>0</v>
      </c>
      <c r="K99" s="1"/>
      <c r="L99" s="1"/>
      <c r="M99" s="1"/>
      <c r="N99" s="1"/>
      <c r="O99" s="1"/>
      <c r="P99" s="1"/>
      <c r="Q99" s="1"/>
      <c r="R99" s="1"/>
      <c r="S99" s="1"/>
      <c r="T99" s="1"/>
      <c r="U99" s="1"/>
      <c r="V99" s="1"/>
      <c r="W99" s="1"/>
      <c r="X99" s="1"/>
      <c r="Y99" s="1"/>
      <c r="Z99" s="1"/>
      <c r="AA99" s="6"/>
    </row>
    <row r="100" spans="1:44" x14ac:dyDescent="0.2">
      <c r="A100" s="1"/>
      <c r="B100" s="1"/>
      <c r="C100" s="1"/>
      <c r="D100" s="1"/>
      <c r="E100" s="1"/>
      <c r="F100" s="1"/>
      <c r="G100" s="1" t="s">
        <v>730</v>
      </c>
      <c r="H100" s="453">
        <f>SUM(H94:H99)</f>
        <v>56.710579613642714</v>
      </c>
      <c r="I100" s="418">
        <f>IF(D8&lt;=0,0,H100/$D$8)</f>
        <v>0.5671057961364272</v>
      </c>
      <c r="J100" s="418">
        <f t="shared" si="45"/>
        <v>1.7633394100585644</v>
      </c>
      <c r="K100" s="1"/>
      <c r="L100" s="1"/>
      <c r="M100" s="1"/>
      <c r="N100" s="1"/>
      <c r="O100" s="1"/>
      <c r="P100" s="1"/>
      <c r="Q100" s="1"/>
      <c r="R100" s="1"/>
      <c r="S100" s="1"/>
      <c r="T100" s="1"/>
      <c r="U100" s="1"/>
      <c r="V100" s="1"/>
      <c r="W100" s="1"/>
      <c r="X100" s="1"/>
      <c r="Y100" s="1"/>
      <c r="Z100" s="1"/>
      <c r="AA100" s="6"/>
    </row>
    <row r="101" spans="1:44"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6"/>
    </row>
    <row r="102" spans="1:44" x14ac:dyDescent="0.2">
      <c r="A102" s="1"/>
      <c r="B102" s="1"/>
      <c r="C102" s="1"/>
      <c r="D102" s="1"/>
      <c r="E102" s="1"/>
      <c r="F102" s="1"/>
      <c r="G102" s="1"/>
      <c r="H102" s="1"/>
      <c r="I102" s="1"/>
      <c r="J102" s="1"/>
      <c r="K102" s="1"/>
      <c r="L102" s="1"/>
      <c r="M102" s="1"/>
      <c r="N102" s="1"/>
      <c r="O102" s="1"/>
      <c r="P102" s="1"/>
      <c r="Q102" s="1"/>
      <c r="R102" s="1" t="s">
        <v>788</v>
      </c>
      <c r="S102" s="1"/>
      <c r="T102" s="1"/>
      <c r="U102" s="1"/>
      <c r="W102" s="1"/>
      <c r="X102" s="1"/>
      <c r="Y102" s="1" t="s">
        <v>789</v>
      </c>
      <c r="Z102" s="1"/>
      <c r="AA102" s="6"/>
    </row>
    <row r="103" spans="1:44"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6"/>
    </row>
    <row r="104" spans="1:44"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6"/>
    </row>
    <row r="105" spans="1:44" ht="15.75" x14ac:dyDescent="0.25">
      <c r="A105" s="1"/>
      <c r="B105" s="446" t="s">
        <v>397</v>
      </c>
      <c r="C105" s="1"/>
      <c r="D105" s="1"/>
      <c r="E105" s="1"/>
      <c r="F105" s="1"/>
      <c r="G105" s="1"/>
      <c r="H105" s="1"/>
      <c r="I105" s="1"/>
      <c r="J105" s="1"/>
      <c r="K105" s="1"/>
      <c r="L105" s="1"/>
      <c r="M105" s="1"/>
      <c r="N105" s="1"/>
      <c r="O105" s="1"/>
      <c r="P105" s="1"/>
      <c r="Q105" s="1"/>
      <c r="R105" s="1"/>
      <c r="S105" s="1"/>
      <c r="T105" s="1"/>
      <c r="U105" s="1"/>
      <c r="V105" s="1"/>
      <c r="W105" s="1"/>
      <c r="X105" s="1"/>
      <c r="Y105" s="1"/>
      <c r="Z105" s="1"/>
      <c r="AA105" s="6"/>
    </row>
    <row r="106" spans="1:44" x14ac:dyDescent="0.2">
      <c r="A106" s="1"/>
      <c r="B106" s="1"/>
      <c r="C106" s="1"/>
      <c r="D106" s="1"/>
      <c r="E106" s="1"/>
      <c r="F106" s="1"/>
      <c r="G106" s="1"/>
      <c r="H106" s="1"/>
      <c r="I106" s="1"/>
      <c r="J106" s="1"/>
      <c r="K106" s="1"/>
      <c r="L106" s="1"/>
      <c r="M106" s="1"/>
      <c r="N106" s="1"/>
      <c r="O106" s="1"/>
      <c r="P106" s="1"/>
      <c r="Q106" s="1"/>
    </row>
    <row r="107" spans="1:44" ht="15.75" x14ac:dyDescent="0.25">
      <c r="C107" s="446" t="s">
        <v>620</v>
      </c>
      <c r="D107" s="1" t="s">
        <v>398</v>
      </c>
      <c r="E107" s="1"/>
      <c r="F107" s="1"/>
      <c r="G107" s="1"/>
      <c r="H107" s="1"/>
      <c r="I107" s="1"/>
      <c r="J107" s="1"/>
      <c r="L107" s="446" t="s">
        <v>582</v>
      </c>
      <c r="N107" s="446" t="s">
        <v>620</v>
      </c>
      <c r="O107" s="1"/>
      <c r="P107" s="1"/>
      <c r="Q107" s="1"/>
      <c r="R107" s="1"/>
      <c r="S107" s="1"/>
      <c r="T107" s="1"/>
      <c r="U107" s="1"/>
      <c r="Y107" s="446" t="s">
        <v>795</v>
      </c>
      <c r="Z107" s="446" t="s">
        <v>393</v>
      </c>
      <c r="AA107" s="6"/>
      <c r="AB107" s="6"/>
      <c r="AC107" s="6"/>
      <c r="AD107" s="6"/>
      <c r="AE107" s="6"/>
      <c r="AF107" s="6"/>
      <c r="AG107" s="1"/>
      <c r="AI107" s="446" t="s">
        <v>582</v>
      </c>
      <c r="AJ107" s="446" t="s">
        <v>393</v>
      </c>
      <c r="AL107" s="1"/>
      <c r="AM107" s="1"/>
      <c r="AN107" s="1"/>
      <c r="AO107" s="1"/>
      <c r="AP107" s="1"/>
      <c r="AQ107" s="1"/>
      <c r="AR107" s="1"/>
    </row>
    <row r="108" spans="1:44" x14ac:dyDescent="0.2">
      <c r="B108" s="65"/>
      <c r="C108" s="1"/>
      <c r="D108" s="14"/>
      <c r="E108" s="14"/>
      <c r="F108" s="14"/>
      <c r="G108" s="14"/>
      <c r="H108" s="14"/>
      <c r="I108" s="14"/>
      <c r="J108" s="14"/>
      <c r="L108" s="65"/>
      <c r="M108" s="1"/>
      <c r="N108" s="14"/>
      <c r="O108" s="14"/>
      <c r="P108" s="14"/>
      <c r="Q108" s="14"/>
      <c r="R108" s="14"/>
      <c r="S108" s="14"/>
      <c r="T108" s="14"/>
      <c r="U108" s="14"/>
      <c r="Y108" s="65"/>
      <c r="Z108" s="1"/>
      <c r="AA108" s="6"/>
      <c r="AB108" s="6"/>
      <c r="AC108" s="6"/>
      <c r="AD108" s="6"/>
      <c r="AE108" s="6"/>
      <c r="AF108" s="6"/>
      <c r="AG108" s="14"/>
      <c r="AI108" s="65"/>
      <c r="AJ108" s="1"/>
      <c r="AK108" s="14"/>
      <c r="AL108" s="14"/>
      <c r="AM108" s="14"/>
      <c r="AN108" s="14"/>
      <c r="AO108" s="14"/>
      <c r="AP108" s="14"/>
      <c r="AQ108" s="14"/>
      <c r="AR108" s="14"/>
    </row>
    <row r="109" spans="1:44" ht="15.75" x14ac:dyDescent="0.25">
      <c r="B109" s="482" t="s">
        <v>994</v>
      </c>
      <c r="C109" s="483" t="s">
        <v>583</v>
      </c>
      <c r="D109" s="484" t="s">
        <v>616</v>
      </c>
      <c r="E109" s="482" t="s">
        <v>619</v>
      </c>
      <c r="F109" s="485" t="s">
        <v>617</v>
      </c>
      <c r="G109" s="485" t="s">
        <v>245</v>
      </c>
      <c r="H109" s="486" t="s">
        <v>489</v>
      </c>
      <c r="I109" s="486" t="s">
        <v>490</v>
      </c>
      <c r="L109" s="482" t="s">
        <v>994</v>
      </c>
      <c r="M109" s="483" t="s">
        <v>583</v>
      </c>
      <c r="N109" s="484" t="s">
        <v>616</v>
      </c>
      <c r="O109" s="482" t="s">
        <v>619</v>
      </c>
      <c r="P109" s="485" t="s">
        <v>617</v>
      </c>
      <c r="Q109" s="482"/>
      <c r="R109" s="485" t="s">
        <v>245</v>
      </c>
      <c r="S109" s="487" t="s">
        <v>489</v>
      </c>
      <c r="T109" s="487" t="s">
        <v>490</v>
      </c>
      <c r="U109" s="1"/>
      <c r="Y109" s="488" t="s">
        <v>994</v>
      </c>
      <c r="Z109" s="94" t="s">
        <v>583</v>
      </c>
      <c r="AA109" s="488" t="s">
        <v>616</v>
      </c>
      <c r="AB109" s="488" t="s">
        <v>619</v>
      </c>
      <c r="AC109" s="488" t="s">
        <v>617</v>
      </c>
      <c r="AD109" s="488" t="s">
        <v>618</v>
      </c>
      <c r="AE109" s="489" t="s">
        <v>489</v>
      </c>
      <c r="AF109" s="489" t="s">
        <v>490</v>
      </c>
      <c r="AI109" s="488" t="s">
        <v>994</v>
      </c>
      <c r="AJ109" s="94" t="s">
        <v>583</v>
      </c>
      <c r="AK109" s="490" t="s">
        <v>616</v>
      </c>
      <c r="AL109" s="488" t="s">
        <v>619</v>
      </c>
      <c r="AM109" s="74" t="s">
        <v>617</v>
      </c>
      <c r="AN109" s="488"/>
      <c r="AO109" s="74" t="s">
        <v>618</v>
      </c>
      <c r="AP109" s="72" t="s">
        <v>489</v>
      </c>
      <c r="AQ109" s="72" t="s">
        <v>490</v>
      </c>
      <c r="AR109" s="1"/>
    </row>
    <row r="110" spans="1:44" ht="15.75" x14ac:dyDescent="0.25">
      <c r="B110" s="305">
        <v>347</v>
      </c>
      <c r="C110" s="491" t="str">
        <f>IF(B110&lt;=0,"",VLOOKUP(B110,Treatments!$C$7:$J$407,2))</f>
        <v>Chisel plough</v>
      </c>
      <c r="D110" s="306">
        <v>1</v>
      </c>
      <c r="E110" s="433">
        <f>VLOOKUP(B110,Treatments!$C$7:$J$407,8)</f>
        <v>30.257142857142856</v>
      </c>
      <c r="F110" s="305">
        <v>1</v>
      </c>
      <c r="G110" s="493">
        <v>1</v>
      </c>
      <c r="H110" s="433">
        <f>D110*E110*F110*G110</f>
        <v>30.257142857142856</v>
      </c>
      <c r="I110" s="411">
        <f>H110*$D$9</f>
        <v>2723.1428571428569</v>
      </c>
      <c r="L110" s="305"/>
      <c r="M110" s="491" t="str">
        <f>VLOOKUP(L110,Treatments!$C$7:$J$407,2)</f>
        <v>No treatment</v>
      </c>
      <c r="N110" s="306"/>
      <c r="O110" s="433">
        <f>VLOOKUP(L110,Treatments!$C$7:$J$407,8)</f>
        <v>0</v>
      </c>
      <c r="P110" s="305"/>
      <c r="Q110" s="494"/>
      <c r="R110" s="493"/>
      <c r="S110" s="433">
        <f t="shared" ref="S110:S115" si="46">N110*O110*P110*R110</f>
        <v>0</v>
      </c>
      <c r="T110" s="411">
        <f t="shared" ref="T110:T115" si="47">S110*$D$9</f>
        <v>0</v>
      </c>
      <c r="U110" s="1"/>
      <c r="Y110" s="447">
        <f>IF(AND(B110&gt;=344,B110&lt;=358),B110+15,B110)</f>
        <v>362</v>
      </c>
      <c r="Z110" s="491" t="str">
        <f>VLOOKUP(Y110,Treatments!$C$7:$J$407,2)</f>
        <v>Chisel plough</v>
      </c>
      <c r="AA110" s="495">
        <f>D110</f>
        <v>1</v>
      </c>
      <c r="AB110" s="433">
        <f>VLOOKUP(Y110,Treatments!$C$7:$J$407,8)</f>
        <v>56.462857142857146</v>
      </c>
      <c r="AC110" s="495">
        <f>F110</f>
        <v>1</v>
      </c>
      <c r="AD110" s="496">
        <f>G110</f>
        <v>1</v>
      </c>
      <c r="AE110" s="433">
        <f>AA110*AB110*AC110*AD110</f>
        <v>56.462857142857146</v>
      </c>
      <c r="AF110" s="411">
        <f t="shared" ref="AF110:AF124" si="48">AE110*$D$9</f>
        <v>5081.6571428571433</v>
      </c>
      <c r="AI110" s="447">
        <f t="shared" ref="AI110:AI115" si="49">IF(AND(L110&gt;=344,L110&lt;=358),L110+15,L110)</f>
        <v>0</v>
      </c>
      <c r="AJ110" s="491" t="str">
        <f>VLOOKUP(AI110,Treatments!$C$7:$J$407,2)</f>
        <v>No treatment</v>
      </c>
      <c r="AK110" s="495">
        <f t="shared" ref="AK110:AK115" si="50">N110</f>
        <v>0</v>
      </c>
      <c r="AL110" s="433">
        <f>VLOOKUP(AI110,Treatments!$C$7:$J$407,8)</f>
        <v>0</v>
      </c>
      <c r="AM110" s="495">
        <f t="shared" ref="AM110:AM115" si="51">P110</f>
        <v>0</v>
      </c>
      <c r="AN110" s="494"/>
      <c r="AO110" s="496">
        <f t="shared" ref="AO110:AO115" si="52">R110</f>
        <v>0</v>
      </c>
      <c r="AP110" s="433">
        <f t="shared" ref="AP110:AP115" si="53">AK110*AL110*AM110*AO110</f>
        <v>0</v>
      </c>
      <c r="AQ110" s="411">
        <f t="shared" ref="AQ110:AQ115" si="54">AP110*$D$9</f>
        <v>0</v>
      </c>
      <c r="AR110" s="1"/>
    </row>
    <row r="111" spans="1:44" ht="15.75" x14ac:dyDescent="0.25">
      <c r="B111" s="305">
        <v>346</v>
      </c>
      <c r="C111" s="491" t="str">
        <f>IF(B111&lt;=0,"",VLOOKUP(B111,Treatments!$C$7:$J$407,2))</f>
        <v>Tyne cultivator</v>
      </c>
      <c r="D111" s="306">
        <v>1</v>
      </c>
      <c r="E111" s="433">
        <f>VLOOKUP(B111,Treatments!$C$7:$J$407,8)</f>
        <v>16.225000000000001</v>
      </c>
      <c r="F111" s="305">
        <v>1</v>
      </c>
      <c r="G111" s="493">
        <v>1</v>
      </c>
      <c r="H111" s="433">
        <f>D111*E111*F111*G111</f>
        <v>16.225000000000001</v>
      </c>
      <c r="I111" s="411">
        <f t="shared" ref="I111:I124" si="55">H111*$D$9</f>
        <v>1460.2500000000002</v>
      </c>
      <c r="L111" s="305"/>
      <c r="M111" s="491" t="str">
        <f>VLOOKUP(L111,Treatments!$C$7:$J$407,2)</f>
        <v>No treatment</v>
      </c>
      <c r="N111" s="306"/>
      <c r="O111" s="433">
        <f>VLOOKUP(L111,Treatments!$C$7:$J$407,8)</f>
        <v>0</v>
      </c>
      <c r="P111" s="305"/>
      <c r="Q111" s="497"/>
      <c r="R111" s="493"/>
      <c r="S111" s="433">
        <f t="shared" si="46"/>
        <v>0</v>
      </c>
      <c r="T111" s="411">
        <f t="shared" si="47"/>
        <v>0</v>
      </c>
      <c r="U111" s="1"/>
      <c r="Y111" s="447">
        <f t="shared" ref="Y111:Y124" si="56">IF(AND(B111&gt;=344,B111&lt;=358),B111+15,B111)</f>
        <v>361</v>
      </c>
      <c r="Z111" s="491" t="str">
        <f>VLOOKUP(Y111,Treatments!$C$7:$J$407,2)</f>
        <v>Tyne cultivator</v>
      </c>
      <c r="AA111" s="495">
        <f t="shared" ref="AA111:AA124" si="57">D111</f>
        <v>1</v>
      </c>
      <c r="AB111" s="433">
        <f>VLOOKUP(Y111,Treatments!$C$7:$J$407,8)</f>
        <v>35.095000000000006</v>
      </c>
      <c r="AC111" s="495">
        <f t="shared" ref="AC111:AD124" si="58">F111</f>
        <v>1</v>
      </c>
      <c r="AD111" s="496">
        <f t="shared" si="58"/>
        <v>1</v>
      </c>
      <c r="AE111" s="433">
        <f>AA111*AB111*AC111*AD111</f>
        <v>35.095000000000006</v>
      </c>
      <c r="AF111" s="411">
        <f t="shared" si="48"/>
        <v>3158.5500000000006</v>
      </c>
      <c r="AI111" s="447">
        <f t="shared" si="49"/>
        <v>0</v>
      </c>
      <c r="AJ111" s="491" t="str">
        <f>VLOOKUP(AI111,Treatments!$C$7:$J$407,2)</f>
        <v>No treatment</v>
      </c>
      <c r="AK111" s="495">
        <f t="shared" si="50"/>
        <v>0</v>
      </c>
      <c r="AL111" s="433">
        <f>VLOOKUP(AI111,Treatments!$C$7:$J$407,8)</f>
        <v>0</v>
      </c>
      <c r="AM111" s="495">
        <f t="shared" si="51"/>
        <v>0</v>
      </c>
      <c r="AN111" s="497"/>
      <c r="AO111" s="496">
        <f t="shared" si="52"/>
        <v>0</v>
      </c>
      <c r="AP111" s="433">
        <f t="shared" si="53"/>
        <v>0</v>
      </c>
      <c r="AQ111" s="411">
        <f t="shared" si="54"/>
        <v>0</v>
      </c>
      <c r="AR111" s="1"/>
    </row>
    <row r="112" spans="1:44" ht="15.75" x14ac:dyDescent="0.25">
      <c r="B112" s="305">
        <v>344</v>
      </c>
      <c r="C112" s="491" t="str">
        <f>IF(B112&lt;=0,"",VLOOKUP(B112,Treatments!$C$7:$J$407,2))</f>
        <v>Linkage spray rig</v>
      </c>
      <c r="D112" s="306">
        <v>1</v>
      </c>
      <c r="E112" s="433">
        <f>VLOOKUP(B112,Treatments!$C$7:$J$407,8)</f>
        <v>3.3779411764705882</v>
      </c>
      <c r="F112" s="305">
        <v>2</v>
      </c>
      <c r="G112" s="493">
        <v>1</v>
      </c>
      <c r="H112" s="433">
        <f t="shared" ref="H112:H122" si="59">D112*E112*F112*G112</f>
        <v>6.7558823529411764</v>
      </c>
      <c r="I112" s="411">
        <f t="shared" si="55"/>
        <v>608.02941176470586</v>
      </c>
      <c r="L112" s="305"/>
      <c r="M112" s="491" t="str">
        <f>VLOOKUP(L112,Treatments!$C$7:$J$407,2)</f>
        <v>No treatment</v>
      </c>
      <c r="N112" s="306"/>
      <c r="O112" s="433">
        <f>VLOOKUP(L112,Treatments!$C$7:$J$407,8)</f>
        <v>0</v>
      </c>
      <c r="P112" s="305"/>
      <c r="Q112" s="160"/>
      <c r="R112" s="493"/>
      <c r="S112" s="433">
        <f t="shared" si="46"/>
        <v>0</v>
      </c>
      <c r="T112" s="411">
        <f t="shared" si="47"/>
        <v>0</v>
      </c>
      <c r="U112" s="1"/>
      <c r="Y112" s="447">
        <f t="shared" si="56"/>
        <v>359</v>
      </c>
      <c r="Z112" s="491" t="str">
        <f>VLOOKUP(Y112,Treatments!$C$7:$J$407,2)</f>
        <v>Linkage spray rig</v>
      </c>
      <c r="AA112" s="495">
        <f t="shared" si="57"/>
        <v>1</v>
      </c>
      <c r="AB112" s="433">
        <f>VLOOKUP(Y112,Treatments!$C$7:$J$407,8)</f>
        <v>8.01</v>
      </c>
      <c r="AC112" s="495">
        <f t="shared" si="58"/>
        <v>2</v>
      </c>
      <c r="AD112" s="496">
        <f t="shared" si="58"/>
        <v>1</v>
      </c>
      <c r="AE112" s="433">
        <f t="shared" ref="AE112:AE122" si="60">AA112*AB112*AC112*AD112</f>
        <v>16.02</v>
      </c>
      <c r="AF112" s="411">
        <f t="shared" si="48"/>
        <v>1441.8</v>
      </c>
      <c r="AI112" s="447">
        <f t="shared" si="49"/>
        <v>0</v>
      </c>
      <c r="AJ112" s="491" t="str">
        <f>VLOOKUP(AI112,Treatments!$C$7:$J$407,2)</f>
        <v>No treatment</v>
      </c>
      <c r="AK112" s="495">
        <f t="shared" si="50"/>
        <v>0</v>
      </c>
      <c r="AL112" s="433">
        <f>VLOOKUP(AI112,Treatments!$C$7:$J$407,8)</f>
        <v>0</v>
      </c>
      <c r="AM112" s="495">
        <f t="shared" si="51"/>
        <v>0</v>
      </c>
      <c r="AN112" s="160"/>
      <c r="AO112" s="496">
        <f t="shared" si="52"/>
        <v>0</v>
      </c>
      <c r="AP112" s="433">
        <f t="shared" si="53"/>
        <v>0</v>
      </c>
      <c r="AQ112" s="411">
        <f t="shared" si="54"/>
        <v>0</v>
      </c>
      <c r="AR112" s="1"/>
    </row>
    <row r="113" spans="2:44" ht="15.75" x14ac:dyDescent="0.25">
      <c r="B113" s="305"/>
      <c r="C113" s="491" t="str">
        <f>IF(B113&lt;=0,"",VLOOKUP(B113,Treatments!$C$7:$J$407,2))</f>
        <v/>
      </c>
      <c r="D113" s="306"/>
      <c r="E113" s="433">
        <f>VLOOKUP(B113,Treatments!$C$7:$J$407,8)</f>
        <v>0</v>
      </c>
      <c r="F113" s="305"/>
      <c r="G113" s="493"/>
      <c r="H113" s="433">
        <f t="shared" si="59"/>
        <v>0</v>
      </c>
      <c r="I113" s="411">
        <f t="shared" si="55"/>
        <v>0</v>
      </c>
      <c r="L113" s="305"/>
      <c r="M113" s="491" t="str">
        <f>VLOOKUP(L113,Treatments!$C$7:$J$407,2)</f>
        <v>No treatment</v>
      </c>
      <c r="N113" s="306"/>
      <c r="O113" s="433">
        <f>VLOOKUP(L113,Treatments!$C$7:$J$407,8)</f>
        <v>0</v>
      </c>
      <c r="P113" s="305"/>
      <c r="Q113" s="498"/>
      <c r="R113" s="493"/>
      <c r="S113" s="433">
        <f t="shared" si="46"/>
        <v>0</v>
      </c>
      <c r="T113" s="411">
        <f t="shared" si="47"/>
        <v>0</v>
      </c>
      <c r="U113" s="1"/>
      <c r="Y113" s="447">
        <f t="shared" si="56"/>
        <v>0</v>
      </c>
      <c r="Z113" s="491" t="str">
        <f>VLOOKUP(Y113,Treatments!$C$7:$J$407,2)</f>
        <v>No treatment</v>
      </c>
      <c r="AA113" s="495">
        <f t="shared" si="57"/>
        <v>0</v>
      </c>
      <c r="AB113" s="433">
        <f>VLOOKUP(Y113,Treatments!$C$7:$J$407,8)</f>
        <v>0</v>
      </c>
      <c r="AC113" s="495">
        <f t="shared" si="58"/>
        <v>0</v>
      </c>
      <c r="AD113" s="496">
        <f t="shared" si="58"/>
        <v>0</v>
      </c>
      <c r="AE113" s="433">
        <f t="shared" si="60"/>
        <v>0</v>
      </c>
      <c r="AF113" s="411">
        <f t="shared" si="48"/>
        <v>0</v>
      </c>
      <c r="AI113" s="447">
        <f t="shared" si="49"/>
        <v>0</v>
      </c>
      <c r="AJ113" s="491" t="str">
        <f>VLOOKUP(AI113,Treatments!$C$7:$J$407,2)</f>
        <v>No treatment</v>
      </c>
      <c r="AK113" s="495">
        <f t="shared" si="50"/>
        <v>0</v>
      </c>
      <c r="AL113" s="433">
        <f>VLOOKUP(AI113,Treatments!$C$7:$J$407,8)</f>
        <v>0</v>
      </c>
      <c r="AM113" s="495">
        <f t="shared" si="51"/>
        <v>0</v>
      </c>
      <c r="AN113" s="498"/>
      <c r="AO113" s="496">
        <f t="shared" si="52"/>
        <v>0</v>
      </c>
      <c r="AP113" s="433">
        <f t="shared" si="53"/>
        <v>0</v>
      </c>
      <c r="AQ113" s="411">
        <f t="shared" si="54"/>
        <v>0</v>
      </c>
      <c r="AR113" s="1"/>
    </row>
    <row r="114" spans="2:44" ht="15.75" x14ac:dyDescent="0.25">
      <c r="B114" s="305">
        <v>127</v>
      </c>
      <c r="C114" s="491" t="str">
        <f>IF(B114&lt;=0,"",VLOOKUP(B114,Treatments!$C$7:$J$407,2))</f>
        <v>Amicide 625</v>
      </c>
      <c r="D114" s="306">
        <v>0.75</v>
      </c>
      <c r="E114" s="433">
        <f>VLOOKUP(B114,Treatments!$C$7:$J$407,8)</f>
        <v>6.82</v>
      </c>
      <c r="F114" s="305">
        <v>2</v>
      </c>
      <c r="G114" s="493">
        <v>1</v>
      </c>
      <c r="H114" s="433">
        <f t="shared" si="59"/>
        <v>10.23</v>
      </c>
      <c r="I114" s="411">
        <f t="shared" si="55"/>
        <v>920.7</v>
      </c>
      <c r="L114" s="435"/>
      <c r="M114" s="491" t="str">
        <f>VLOOKUP(L114,Treatments!$C$7:$J$407,2)</f>
        <v>No treatment</v>
      </c>
      <c r="N114" s="492"/>
      <c r="O114" s="433">
        <f>VLOOKUP(L114,Treatments!$C$7:$J$407,8)</f>
        <v>0</v>
      </c>
      <c r="P114" s="435"/>
      <c r="Q114" s="498"/>
      <c r="R114" s="493"/>
      <c r="S114" s="433">
        <f t="shared" si="46"/>
        <v>0</v>
      </c>
      <c r="T114" s="411">
        <f t="shared" si="47"/>
        <v>0</v>
      </c>
      <c r="U114" s="1"/>
      <c r="Y114" s="447">
        <f t="shared" si="56"/>
        <v>127</v>
      </c>
      <c r="Z114" s="491" t="str">
        <f>VLOOKUP(Y114,Treatments!$C$7:$J$407,2)</f>
        <v>Amicide 625</v>
      </c>
      <c r="AA114" s="495">
        <f t="shared" si="57"/>
        <v>0.75</v>
      </c>
      <c r="AB114" s="433">
        <f>VLOOKUP(Y114,Treatments!$C$7:$J$407,8)</f>
        <v>6.82</v>
      </c>
      <c r="AC114" s="495">
        <f t="shared" si="58"/>
        <v>2</v>
      </c>
      <c r="AD114" s="496">
        <f t="shared" si="58"/>
        <v>1</v>
      </c>
      <c r="AE114" s="433">
        <f t="shared" si="60"/>
        <v>10.23</v>
      </c>
      <c r="AF114" s="411">
        <f t="shared" si="48"/>
        <v>920.7</v>
      </c>
      <c r="AI114" s="447">
        <f t="shared" si="49"/>
        <v>0</v>
      </c>
      <c r="AJ114" s="491" t="str">
        <f>VLOOKUP(AI114,Treatments!$C$7:$J$407,2)</f>
        <v>No treatment</v>
      </c>
      <c r="AK114" s="495">
        <f t="shared" si="50"/>
        <v>0</v>
      </c>
      <c r="AL114" s="433">
        <f>VLOOKUP(AI114,Treatments!$C$7:$J$407,8)</f>
        <v>0</v>
      </c>
      <c r="AM114" s="495">
        <f t="shared" si="51"/>
        <v>0</v>
      </c>
      <c r="AN114" s="498"/>
      <c r="AO114" s="496">
        <f t="shared" si="52"/>
        <v>0</v>
      </c>
      <c r="AP114" s="433">
        <f t="shared" si="53"/>
        <v>0</v>
      </c>
      <c r="AQ114" s="411">
        <f t="shared" si="54"/>
        <v>0</v>
      </c>
      <c r="AR114" s="1"/>
    </row>
    <row r="115" spans="2:44" ht="15.75" x14ac:dyDescent="0.25">
      <c r="B115" s="305">
        <v>150</v>
      </c>
      <c r="C115" s="491" t="str">
        <f>IF(B115&lt;=0,"",VLOOKUP(B115,Treatments!$C$7:$J$407,2))</f>
        <v>Glyphosate 450 CT</v>
      </c>
      <c r="D115" s="306">
        <v>1.5</v>
      </c>
      <c r="E115" s="433">
        <f>VLOOKUP(B115,Treatments!$C$7:$J$407,8)</f>
        <v>4.6360000000000001</v>
      </c>
      <c r="F115" s="305">
        <v>2</v>
      </c>
      <c r="G115" s="493">
        <v>1</v>
      </c>
      <c r="H115" s="433">
        <f t="shared" si="59"/>
        <v>13.908000000000001</v>
      </c>
      <c r="I115" s="411">
        <f t="shared" si="55"/>
        <v>1251.72</v>
      </c>
      <c r="L115" s="435"/>
      <c r="M115" s="491" t="str">
        <f>VLOOKUP(L115,Treatments!$C$7:$J$407,2)</f>
        <v>No treatment</v>
      </c>
      <c r="N115" s="492"/>
      <c r="O115" s="433">
        <f>VLOOKUP(L115,Treatments!$C$7:$J$407,8)</f>
        <v>0</v>
      </c>
      <c r="P115" s="435"/>
      <c r="Q115" s="498"/>
      <c r="R115" s="493"/>
      <c r="S115" s="433">
        <f t="shared" si="46"/>
        <v>0</v>
      </c>
      <c r="T115" s="411">
        <f t="shared" si="47"/>
        <v>0</v>
      </c>
      <c r="U115" s="1"/>
      <c r="Y115" s="447">
        <f t="shared" si="56"/>
        <v>150</v>
      </c>
      <c r="Z115" s="491" t="str">
        <f>VLOOKUP(Y115,Treatments!$C$7:$J$407,2)</f>
        <v>Glyphosate 450 CT</v>
      </c>
      <c r="AA115" s="495">
        <f t="shared" si="57"/>
        <v>1.5</v>
      </c>
      <c r="AB115" s="433">
        <f>VLOOKUP(Y115,Treatments!$C$7:$J$407,8)</f>
        <v>4.6360000000000001</v>
      </c>
      <c r="AC115" s="495">
        <f t="shared" si="58"/>
        <v>2</v>
      </c>
      <c r="AD115" s="496">
        <f t="shared" si="58"/>
        <v>1</v>
      </c>
      <c r="AE115" s="433">
        <f t="shared" si="60"/>
        <v>13.908000000000001</v>
      </c>
      <c r="AF115" s="411">
        <f t="shared" si="48"/>
        <v>1251.72</v>
      </c>
      <c r="AI115" s="447">
        <f t="shared" si="49"/>
        <v>0</v>
      </c>
      <c r="AJ115" s="491" t="str">
        <f>VLOOKUP(AI115,Treatments!$C$7:$J$407,2)</f>
        <v>No treatment</v>
      </c>
      <c r="AK115" s="495">
        <f t="shared" si="50"/>
        <v>0</v>
      </c>
      <c r="AL115" s="433">
        <f>VLOOKUP(AI115,Treatments!$C$7:$J$407,8)</f>
        <v>0</v>
      </c>
      <c r="AM115" s="495">
        <f t="shared" si="51"/>
        <v>0</v>
      </c>
      <c r="AN115" s="498"/>
      <c r="AO115" s="496">
        <f t="shared" si="52"/>
        <v>0</v>
      </c>
      <c r="AP115" s="433">
        <f t="shared" si="53"/>
        <v>0</v>
      </c>
      <c r="AQ115" s="411">
        <f t="shared" si="54"/>
        <v>0</v>
      </c>
      <c r="AR115" s="1"/>
    </row>
    <row r="116" spans="2:44" ht="15.75" x14ac:dyDescent="0.25">
      <c r="B116" s="305"/>
      <c r="C116" s="491" t="str">
        <f>IF(B116&lt;=0,"",VLOOKUP(B116,Treatments!$C$7:$J$407,2))</f>
        <v/>
      </c>
      <c r="D116" s="306"/>
      <c r="E116" s="433">
        <f>VLOOKUP(B116,Treatments!$C$7:$J$407,8)</f>
        <v>0</v>
      </c>
      <c r="F116" s="305"/>
      <c r="G116" s="493"/>
      <c r="H116" s="433">
        <f t="shared" si="59"/>
        <v>0</v>
      </c>
      <c r="I116" s="411">
        <f t="shared" si="55"/>
        <v>0</v>
      </c>
      <c r="U116" s="1"/>
      <c r="Y116" s="447">
        <f t="shared" si="56"/>
        <v>0</v>
      </c>
      <c r="Z116" s="491" t="str">
        <f>VLOOKUP(Y116,Treatments!$C$7:$J$407,2)</f>
        <v>No treatment</v>
      </c>
      <c r="AA116" s="495">
        <f t="shared" si="57"/>
        <v>0</v>
      </c>
      <c r="AB116" s="433">
        <f>VLOOKUP(Y116,Treatments!$C$7:$J$407,8)</f>
        <v>0</v>
      </c>
      <c r="AC116" s="495">
        <f t="shared" si="58"/>
        <v>0</v>
      </c>
      <c r="AD116" s="496">
        <f t="shared" si="58"/>
        <v>0</v>
      </c>
      <c r="AE116" s="433">
        <f t="shared" si="60"/>
        <v>0</v>
      </c>
      <c r="AF116" s="411">
        <f t="shared" si="48"/>
        <v>0</v>
      </c>
      <c r="AR116" s="1"/>
    </row>
    <row r="117" spans="2:44" ht="15.75" x14ac:dyDescent="0.25">
      <c r="B117" s="305"/>
      <c r="C117" s="491" t="str">
        <f>IF(B117&lt;=0,"",VLOOKUP(B117,Treatments!$C$7:$J$407,2))</f>
        <v/>
      </c>
      <c r="D117" s="306"/>
      <c r="E117" s="433">
        <f>VLOOKUP(B117,Treatments!$C$7:$J$407,8)</f>
        <v>0</v>
      </c>
      <c r="F117" s="305"/>
      <c r="G117" s="493"/>
      <c r="H117" s="433">
        <f t="shared" si="59"/>
        <v>0</v>
      </c>
      <c r="I117" s="411">
        <f t="shared" si="55"/>
        <v>0</v>
      </c>
      <c r="L117" s="482" t="s">
        <v>994</v>
      </c>
      <c r="M117" s="483" t="s">
        <v>580</v>
      </c>
      <c r="N117" s="484" t="s">
        <v>616</v>
      </c>
      <c r="O117" s="482" t="s">
        <v>619</v>
      </c>
      <c r="P117" s="485" t="s">
        <v>617</v>
      </c>
      <c r="Q117" s="482"/>
      <c r="R117" s="485" t="s">
        <v>618</v>
      </c>
      <c r="S117" s="487"/>
      <c r="T117" s="487"/>
      <c r="U117" s="1"/>
      <c r="Y117" s="447">
        <f t="shared" si="56"/>
        <v>0</v>
      </c>
      <c r="Z117" s="491" t="str">
        <f>VLOOKUP(Y117,Treatments!$C$7:$J$407,2)</f>
        <v>No treatment</v>
      </c>
      <c r="AA117" s="495">
        <f t="shared" si="57"/>
        <v>0</v>
      </c>
      <c r="AB117" s="433">
        <f>VLOOKUP(Y117,Treatments!$C$7:$J$407,8)</f>
        <v>0</v>
      </c>
      <c r="AC117" s="495">
        <f t="shared" si="58"/>
        <v>0</v>
      </c>
      <c r="AD117" s="496">
        <f t="shared" si="58"/>
        <v>0</v>
      </c>
      <c r="AE117" s="433">
        <f t="shared" si="60"/>
        <v>0</v>
      </c>
      <c r="AF117" s="411">
        <f t="shared" si="48"/>
        <v>0</v>
      </c>
      <c r="AI117" s="499" t="s">
        <v>994</v>
      </c>
      <c r="AJ117" s="5" t="s">
        <v>580</v>
      </c>
      <c r="AK117" s="14" t="s">
        <v>616</v>
      </c>
      <c r="AL117" s="6" t="s">
        <v>619</v>
      </c>
      <c r="AM117" s="1" t="s">
        <v>617</v>
      </c>
      <c r="AN117" s="6"/>
      <c r="AO117" s="1" t="s">
        <v>618</v>
      </c>
      <c r="AP117" s="500"/>
      <c r="AQ117" s="62"/>
      <c r="AR117" s="1"/>
    </row>
    <row r="118" spans="2:44" ht="15.75" x14ac:dyDescent="0.25">
      <c r="B118" s="305"/>
      <c r="C118" s="491" t="str">
        <f>IF(B118&lt;=0,"",VLOOKUP(B118,Treatments!$C$7:$J$407,2))</f>
        <v/>
      </c>
      <c r="D118" s="306"/>
      <c r="E118" s="433">
        <f>VLOOKUP(B118,Treatments!$C$7:$J$407,8)</f>
        <v>0</v>
      </c>
      <c r="F118" s="305"/>
      <c r="G118" s="493"/>
      <c r="H118" s="433">
        <f t="shared" si="59"/>
        <v>0</v>
      </c>
      <c r="I118" s="411">
        <f t="shared" si="55"/>
        <v>0</v>
      </c>
      <c r="L118" s="305"/>
      <c r="M118" s="491" t="str">
        <f>VLOOKUP(L118,Treatments!$C$7:$J$407,2)</f>
        <v>No treatment</v>
      </c>
      <c r="N118" s="306"/>
      <c r="O118" s="433">
        <f>VLOOKUP(L118,Treatments!$C$7:$J$407,8)</f>
        <v>0</v>
      </c>
      <c r="P118" s="305"/>
      <c r="Q118" s="494"/>
      <c r="R118" s="308"/>
      <c r="S118" s="433">
        <f>N118*O118*P118*R118</f>
        <v>0</v>
      </c>
      <c r="T118" s="411">
        <f>S118*$D$9</f>
        <v>0</v>
      </c>
      <c r="U118" s="1"/>
      <c r="Y118" s="447">
        <f t="shared" si="56"/>
        <v>0</v>
      </c>
      <c r="Z118" s="491" t="str">
        <f>VLOOKUP(Y118,Treatments!$C$7:$J$407,2)</f>
        <v>No treatment</v>
      </c>
      <c r="AA118" s="495">
        <f t="shared" si="57"/>
        <v>0</v>
      </c>
      <c r="AB118" s="433">
        <f>VLOOKUP(Y118,Treatments!$C$7:$J$407,8)</f>
        <v>0</v>
      </c>
      <c r="AC118" s="495">
        <f t="shared" si="58"/>
        <v>0</v>
      </c>
      <c r="AD118" s="496">
        <f t="shared" si="58"/>
        <v>0</v>
      </c>
      <c r="AE118" s="433">
        <f t="shared" si="60"/>
        <v>0</v>
      </c>
      <c r="AF118" s="411">
        <f t="shared" si="48"/>
        <v>0</v>
      </c>
      <c r="AI118" s="447">
        <f t="shared" ref="AI118:AI129" si="61">IF(AND(L118&gt;=344,L118&lt;=358),L118+15,L118)</f>
        <v>0</v>
      </c>
      <c r="AJ118" s="491" t="str">
        <f>VLOOKUP(AI118,Treatments!$C$7:$J$407,2)</f>
        <v>No treatment</v>
      </c>
      <c r="AK118" s="495">
        <f t="shared" ref="AK118:AK129" si="62">N118</f>
        <v>0</v>
      </c>
      <c r="AL118" s="433">
        <f>VLOOKUP(AI118,Treatments!$C$7:$J$407,8)</f>
        <v>0</v>
      </c>
      <c r="AM118" s="495">
        <f t="shared" ref="AM118:AM129" si="63">P118</f>
        <v>0</v>
      </c>
      <c r="AN118" s="494"/>
      <c r="AO118" s="496">
        <f t="shared" ref="AO118:AO129" si="64">R118</f>
        <v>0</v>
      </c>
      <c r="AP118" s="433">
        <f>AK118*AL118*AM118*AO118</f>
        <v>0</v>
      </c>
      <c r="AQ118" s="411">
        <f t="shared" ref="AQ118:AQ129" si="65">AP118*$D$9</f>
        <v>0</v>
      </c>
      <c r="AR118" s="1"/>
    </row>
    <row r="119" spans="2:44" ht="15.75" x14ac:dyDescent="0.25">
      <c r="B119" s="305"/>
      <c r="C119" s="491" t="str">
        <f>IF(B119&lt;=0,"",VLOOKUP(B119,Treatments!$C$7:$J$407,2))</f>
        <v/>
      </c>
      <c r="D119" s="306"/>
      <c r="E119" s="433">
        <f>VLOOKUP(B119,Treatments!$C$7:$J$407,8)</f>
        <v>0</v>
      </c>
      <c r="F119" s="305"/>
      <c r="G119" s="493"/>
      <c r="H119" s="433">
        <f t="shared" si="59"/>
        <v>0</v>
      </c>
      <c r="I119" s="411">
        <f t="shared" si="55"/>
        <v>0</v>
      </c>
      <c r="L119" s="305"/>
      <c r="M119" s="491" t="str">
        <f>VLOOKUP(L119,Treatments!$C$7:$J$407,2)</f>
        <v>No treatment</v>
      </c>
      <c r="N119" s="306"/>
      <c r="O119" s="433">
        <f>VLOOKUP(L119,Treatments!$C$7:$J$407,8)</f>
        <v>0</v>
      </c>
      <c r="P119" s="305"/>
      <c r="Q119" s="160"/>
      <c r="R119" s="308"/>
      <c r="S119" s="433">
        <f t="shared" ref="S119:S129" si="66">N119*O119*P119*R119</f>
        <v>0</v>
      </c>
      <c r="T119" s="411">
        <f t="shared" ref="T119:T129" si="67">S119*$D$9</f>
        <v>0</v>
      </c>
      <c r="U119" s="1"/>
      <c r="Y119" s="447">
        <f t="shared" si="56"/>
        <v>0</v>
      </c>
      <c r="Z119" s="491" t="str">
        <f>VLOOKUP(Y119,Treatments!$C$7:$J$407,2)</f>
        <v>No treatment</v>
      </c>
      <c r="AA119" s="495">
        <f t="shared" si="57"/>
        <v>0</v>
      </c>
      <c r="AB119" s="433">
        <f>VLOOKUP(Y119,Treatments!$C$7:$J$407,8)</f>
        <v>0</v>
      </c>
      <c r="AC119" s="495">
        <f t="shared" si="58"/>
        <v>0</v>
      </c>
      <c r="AD119" s="496">
        <f t="shared" si="58"/>
        <v>0</v>
      </c>
      <c r="AE119" s="433">
        <f t="shared" si="60"/>
        <v>0</v>
      </c>
      <c r="AF119" s="411">
        <f t="shared" si="48"/>
        <v>0</v>
      </c>
      <c r="AI119" s="447">
        <f t="shared" si="61"/>
        <v>0</v>
      </c>
      <c r="AJ119" s="491" t="str">
        <f>VLOOKUP(AI119,Treatments!$C$7:$J$407,2)</f>
        <v>No treatment</v>
      </c>
      <c r="AK119" s="495">
        <f t="shared" si="62"/>
        <v>0</v>
      </c>
      <c r="AL119" s="433">
        <f>VLOOKUP(AI119,Treatments!$C$7:$J$407,8)</f>
        <v>0</v>
      </c>
      <c r="AM119" s="495">
        <f t="shared" si="63"/>
        <v>0</v>
      </c>
      <c r="AN119" s="160"/>
      <c r="AO119" s="496">
        <f t="shared" si="64"/>
        <v>0</v>
      </c>
      <c r="AP119" s="433">
        <f t="shared" ref="AP119:AP129" si="68">AK119*AL119*AM119*AO119</f>
        <v>0</v>
      </c>
      <c r="AQ119" s="411">
        <f t="shared" si="65"/>
        <v>0</v>
      </c>
      <c r="AR119" s="1"/>
    </row>
    <row r="120" spans="2:44" ht="15.75" x14ac:dyDescent="0.25">
      <c r="B120" s="305"/>
      <c r="C120" s="491" t="str">
        <f>IF(B120&lt;=0,"",VLOOKUP(B120,Treatments!$C$7:$J$407,2))</f>
        <v/>
      </c>
      <c r="D120" s="306"/>
      <c r="E120" s="433">
        <f>VLOOKUP(B120,Treatments!$C$7:$J$407,8)</f>
        <v>0</v>
      </c>
      <c r="F120" s="305"/>
      <c r="G120" s="493"/>
      <c r="H120" s="433">
        <f t="shared" si="59"/>
        <v>0</v>
      </c>
      <c r="I120" s="411">
        <f t="shared" si="55"/>
        <v>0</v>
      </c>
      <c r="L120" s="305"/>
      <c r="M120" s="491" t="str">
        <f>VLOOKUP(L120,Treatments!$C$7:$J$407,2)</f>
        <v>No treatment</v>
      </c>
      <c r="N120" s="306"/>
      <c r="O120" s="433">
        <f>VLOOKUP(L120,Treatments!$C$7:$J$407,8)</f>
        <v>0</v>
      </c>
      <c r="P120" s="305"/>
      <c r="Q120" s="160"/>
      <c r="R120" s="308"/>
      <c r="S120" s="433">
        <f t="shared" si="66"/>
        <v>0</v>
      </c>
      <c r="T120" s="411">
        <f t="shared" si="67"/>
        <v>0</v>
      </c>
      <c r="U120" s="1"/>
      <c r="Y120" s="447">
        <f t="shared" si="56"/>
        <v>0</v>
      </c>
      <c r="Z120" s="491" t="str">
        <f>VLOOKUP(Y120,Treatments!$C$7:$J$407,2)</f>
        <v>No treatment</v>
      </c>
      <c r="AA120" s="495">
        <f t="shared" si="57"/>
        <v>0</v>
      </c>
      <c r="AB120" s="433">
        <f>VLOOKUP(Y120,Treatments!$C$7:$J$407,8)</f>
        <v>0</v>
      </c>
      <c r="AC120" s="495">
        <f t="shared" si="58"/>
        <v>0</v>
      </c>
      <c r="AD120" s="496">
        <f t="shared" si="58"/>
        <v>0</v>
      </c>
      <c r="AE120" s="433">
        <f t="shared" si="60"/>
        <v>0</v>
      </c>
      <c r="AF120" s="411">
        <f t="shared" si="48"/>
        <v>0</v>
      </c>
      <c r="AI120" s="447">
        <f t="shared" si="61"/>
        <v>0</v>
      </c>
      <c r="AJ120" s="491" t="str">
        <f>VLOOKUP(AI120,Treatments!$C$7:$J$407,2)</f>
        <v>No treatment</v>
      </c>
      <c r="AK120" s="495">
        <f t="shared" si="62"/>
        <v>0</v>
      </c>
      <c r="AL120" s="433">
        <f>VLOOKUP(AI120,Treatments!$C$7:$J$407,8)</f>
        <v>0</v>
      </c>
      <c r="AM120" s="495">
        <f t="shared" si="63"/>
        <v>0</v>
      </c>
      <c r="AN120" s="160"/>
      <c r="AO120" s="496">
        <f t="shared" si="64"/>
        <v>0</v>
      </c>
      <c r="AP120" s="433">
        <f t="shared" si="68"/>
        <v>0</v>
      </c>
      <c r="AQ120" s="411">
        <f t="shared" si="65"/>
        <v>0</v>
      </c>
      <c r="AR120" s="1"/>
    </row>
    <row r="121" spans="2:44" ht="15.75" x14ac:dyDescent="0.25">
      <c r="B121" s="305"/>
      <c r="C121" s="491" t="str">
        <f>IF(B121&lt;=0,"",VLOOKUP(B121,Treatments!$C$7:$J$407,2))</f>
        <v/>
      </c>
      <c r="D121" s="306"/>
      <c r="E121" s="433">
        <f>VLOOKUP(B121,Treatments!$C$7:$J$407,8)</f>
        <v>0</v>
      </c>
      <c r="F121" s="305"/>
      <c r="G121" s="493"/>
      <c r="H121" s="433">
        <f t="shared" si="59"/>
        <v>0</v>
      </c>
      <c r="I121" s="411">
        <f t="shared" si="55"/>
        <v>0</v>
      </c>
      <c r="L121" s="305"/>
      <c r="M121" s="491" t="str">
        <f>VLOOKUP(L121,Treatments!$C$7:$J$407,2)</f>
        <v>No treatment</v>
      </c>
      <c r="N121" s="306"/>
      <c r="O121" s="433">
        <f>VLOOKUP(L121,Treatments!$C$7:$J$407,8)</f>
        <v>0</v>
      </c>
      <c r="P121" s="305"/>
      <c r="Q121" s="160"/>
      <c r="R121" s="308"/>
      <c r="S121" s="433">
        <f t="shared" si="66"/>
        <v>0</v>
      </c>
      <c r="T121" s="411">
        <f t="shared" si="67"/>
        <v>0</v>
      </c>
      <c r="U121" s="1"/>
      <c r="Y121" s="447">
        <f t="shared" si="56"/>
        <v>0</v>
      </c>
      <c r="Z121" s="491" t="str">
        <f>VLOOKUP(Y121,Treatments!$C$7:$J$407,2)</f>
        <v>No treatment</v>
      </c>
      <c r="AA121" s="495">
        <f t="shared" si="57"/>
        <v>0</v>
      </c>
      <c r="AB121" s="433">
        <f>VLOOKUP(Y121,Treatments!$C$7:$J$407,8)</f>
        <v>0</v>
      </c>
      <c r="AC121" s="495">
        <f t="shared" si="58"/>
        <v>0</v>
      </c>
      <c r="AD121" s="496">
        <f t="shared" si="58"/>
        <v>0</v>
      </c>
      <c r="AE121" s="433">
        <f t="shared" si="60"/>
        <v>0</v>
      </c>
      <c r="AF121" s="411">
        <f t="shared" si="48"/>
        <v>0</v>
      </c>
      <c r="AI121" s="447">
        <f t="shared" si="61"/>
        <v>0</v>
      </c>
      <c r="AJ121" s="491" t="str">
        <f>VLOOKUP(AI121,Treatments!$C$7:$J$407,2)</f>
        <v>No treatment</v>
      </c>
      <c r="AK121" s="495">
        <f t="shared" si="62"/>
        <v>0</v>
      </c>
      <c r="AL121" s="433">
        <f>VLOOKUP(AI121,Treatments!$C$7:$J$407,8)</f>
        <v>0</v>
      </c>
      <c r="AM121" s="495">
        <f t="shared" si="63"/>
        <v>0</v>
      </c>
      <c r="AN121" s="160"/>
      <c r="AO121" s="496">
        <f t="shared" si="64"/>
        <v>0</v>
      </c>
      <c r="AP121" s="433">
        <f t="shared" si="68"/>
        <v>0</v>
      </c>
      <c r="AQ121" s="411">
        <f t="shared" si="65"/>
        <v>0</v>
      </c>
      <c r="AR121" s="1"/>
    </row>
    <row r="122" spans="2:44" ht="15.75" x14ac:dyDescent="0.25">
      <c r="B122" s="305"/>
      <c r="C122" s="491" t="str">
        <f>IF(B122&lt;=0,"",VLOOKUP(B122,Treatments!$C$7:$J$407,2))</f>
        <v/>
      </c>
      <c r="D122" s="306"/>
      <c r="E122" s="433">
        <f>VLOOKUP(B122,Treatments!$C$7:$J$407,8)</f>
        <v>0</v>
      </c>
      <c r="F122" s="305"/>
      <c r="G122" s="493"/>
      <c r="H122" s="433">
        <f t="shared" si="59"/>
        <v>0</v>
      </c>
      <c r="I122" s="411">
        <f t="shared" si="55"/>
        <v>0</v>
      </c>
      <c r="L122" s="305"/>
      <c r="M122" s="491" t="str">
        <f>VLOOKUP(L122,Treatments!$C$7:$J$407,2)</f>
        <v>No treatment</v>
      </c>
      <c r="N122" s="306"/>
      <c r="O122" s="433">
        <f>VLOOKUP(L122,Treatments!$C$7:$J$407,8)</f>
        <v>0</v>
      </c>
      <c r="P122" s="305"/>
      <c r="Q122" s="160"/>
      <c r="R122" s="308"/>
      <c r="S122" s="433">
        <f t="shared" si="66"/>
        <v>0</v>
      </c>
      <c r="T122" s="411">
        <f t="shared" si="67"/>
        <v>0</v>
      </c>
      <c r="U122" s="1"/>
      <c r="Y122" s="447">
        <f t="shared" si="56"/>
        <v>0</v>
      </c>
      <c r="Z122" s="491" t="str">
        <f>VLOOKUP(Y122,Treatments!$C$7:$J$407,2)</f>
        <v>No treatment</v>
      </c>
      <c r="AA122" s="495">
        <f t="shared" si="57"/>
        <v>0</v>
      </c>
      <c r="AB122" s="433">
        <f>VLOOKUP(Y122,Treatments!$C$7:$J$407,8)</f>
        <v>0</v>
      </c>
      <c r="AC122" s="495">
        <f t="shared" si="58"/>
        <v>0</v>
      </c>
      <c r="AD122" s="496">
        <f t="shared" si="58"/>
        <v>0</v>
      </c>
      <c r="AE122" s="433">
        <f t="shared" si="60"/>
        <v>0</v>
      </c>
      <c r="AF122" s="411">
        <f t="shared" si="48"/>
        <v>0</v>
      </c>
      <c r="AI122" s="447">
        <f t="shared" si="61"/>
        <v>0</v>
      </c>
      <c r="AJ122" s="491" t="str">
        <f>VLOOKUP(AI122,Treatments!$C$7:$J$407,2)</f>
        <v>No treatment</v>
      </c>
      <c r="AK122" s="495">
        <f t="shared" si="62"/>
        <v>0</v>
      </c>
      <c r="AL122" s="433">
        <f>VLOOKUP(AI122,Treatments!$C$7:$J$407,8)</f>
        <v>0</v>
      </c>
      <c r="AM122" s="495">
        <f t="shared" si="63"/>
        <v>0</v>
      </c>
      <c r="AN122" s="160"/>
      <c r="AO122" s="496">
        <f t="shared" si="64"/>
        <v>0</v>
      </c>
      <c r="AP122" s="433">
        <f t="shared" si="68"/>
        <v>0</v>
      </c>
      <c r="AQ122" s="411">
        <f t="shared" si="65"/>
        <v>0</v>
      </c>
      <c r="AR122" s="1"/>
    </row>
    <row r="123" spans="2:44" ht="15.75" x14ac:dyDescent="0.25">
      <c r="B123" s="305"/>
      <c r="C123" s="491" t="str">
        <f>IF(B123&lt;=0,"",VLOOKUP(B123,Treatments!$C$7:$J$407,2))</f>
        <v/>
      </c>
      <c r="D123" s="306"/>
      <c r="E123" s="433">
        <f>VLOOKUP(B123,Treatments!$C$7:$J$407,8)</f>
        <v>0</v>
      </c>
      <c r="F123" s="305"/>
      <c r="G123" s="493"/>
      <c r="H123" s="433">
        <f>D123*E123*F123*G123</f>
        <v>0</v>
      </c>
      <c r="I123" s="411">
        <f t="shared" si="55"/>
        <v>0</v>
      </c>
      <c r="L123" s="305"/>
      <c r="M123" s="491" t="str">
        <f>VLOOKUP(L123,Treatments!$C$7:$J$407,2)</f>
        <v>No treatment</v>
      </c>
      <c r="N123" s="306"/>
      <c r="O123" s="433">
        <f>VLOOKUP(L123,Treatments!$C$7:$J$407,8)</f>
        <v>0</v>
      </c>
      <c r="P123" s="305"/>
      <c r="Q123" s="160"/>
      <c r="R123" s="308"/>
      <c r="S123" s="433">
        <f t="shared" si="66"/>
        <v>0</v>
      </c>
      <c r="T123" s="411">
        <f t="shared" si="67"/>
        <v>0</v>
      </c>
      <c r="U123" s="1"/>
      <c r="Y123" s="447">
        <f t="shared" si="56"/>
        <v>0</v>
      </c>
      <c r="Z123" s="491" t="str">
        <f>VLOOKUP(Y123,Treatments!$C$7:$J$407,2)</f>
        <v>No treatment</v>
      </c>
      <c r="AA123" s="495">
        <f t="shared" si="57"/>
        <v>0</v>
      </c>
      <c r="AB123" s="433">
        <f>VLOOKUP(Y123,Treatments!$C$7:$J$407,8)</f>
        <v>0</v>
      </c>
      <c r="AC123" s="495">
        <f t="shared" si="58"/>
        <v>0</v>
      </c>
      <c r="AD123" s="496">
        <f t="shared" si="58"/>
        <v>0</v>
      </c>
      <c r="AE123" s="433">
        <f>AA123*AB123*AC123*AD123</f>
        <v>0</v>
      </c>
      <c r="AF123" s="411">
        <f t="shared" si="48"/>
        <v>0</v>
      </c>
      <c r="AI123" s="447">
        <f t="shared" si="61"/>
        <v>0</v>
      </c>
      <c r="AJ123" s="491" t="str">
        <f>VLOOKUP(AI123,Treatments!$C$7:$J$407,2)</f>
        <v>No treatment</v>
      </c>
      <c r="AK123" s="495">
        <f t="shared" si="62"/>
        <v>0</v>
      </c>
      <c r="AL123" s="433">
        <f>VLOOKUP(AI123,Treatments!$C$7:$J$407,8)</f>
        <v>0</v>
      </c>
      <c r="AM123" s="495">
        <f t="shared" si="63"/>
        <v>0</v>
      </c>
      <c r="AN123" s="160"/>
      <c r="AO123" s="496">
        <f t="shared" si="64"/>
        <v>0</v>
      </c>
      <c r="AP123" s="433">
        <f t="shared" si="68"/>
        <v>0</v>
      </c>
      <c r="AQ123" s="411">
        <f t="shared" si="65"/>
        <v>0</v>
      </c>
      <c r="AR123" s="1"/>
    </row>
    <row r="124" spans="2:44" ht="15.75" x14ac:dyDescent="0.25">
      <c r="B124" s="305"/>
      <c r="C124" s="491" t="str">
        <f>IF(B124&lt;=0,"",VLOOKUP(B124,Treatments!$C$7:$J$407,2))</f>
        <v/>
      </c>
      <c r="D124" s="306"/>
      <c r="E124" s="433">
        <f>VLOOKUP(B124,Treatments!$C$7:$J$407,8)</f>
        <v>0</v>
      </c>
      <c r="F124" s="305"/>
      <c r="G124" s="493"/>
      <c r="H124" s="433">
        <f>D124*E124*F124*G124</f>
        <v>0</v>
      </c>
      <c r="I124" s="411">
        <f t="shared" si="55"/>
        <v>0</v>
      </c>
      <c r="L124" s="305"/>
      <c r="M124" s="491" t="str">
        <f>VLOOKUP(L124,Treatments!$C$7:$J$407,2)</f>
        <v>No treatment</v>
      </c>
      <c r="N124" s="306"/>
      <c r="O124" s="433">
        <f>VLOOKUP(L124,Treatments!$C$7:$J$407,8)</f>
        <v>0</v>
      </c>
      <c r="P124" s="305"/>
      <c r="Q124" s="160"/>
      <c r="R124" s="308"/>
      <c r="S124" s="433">
        <f t="shared" si="66"/>
        <v>0</v>
      </c>
      <c r="T124" s="411">
        <f t="shared" si="67"/>
        <v>0</v>
      </c>
      <c r="U124" s="1"/>
      <c r="Y124" s="447">
        <f t="shared" si="56"/>
        <v>0</v>
      </c>
      <c r="Z124" s="491" t="str">
        <f>VLOOKUP(Y124,Treatments!$C$7:$J$407,2)</f>
        <v>No treatment</v>
      </c>
      <c r="AA124" s="495">
        <f t="shared" si="57"/>
        <v>0</v>
      </c>
      <c r="AB124" s="433">
        <f>VLOOKUP(Y124,Treatments!$C$7:$J$407,8)</f>
        <v>0</v>
      </c>
      <c r="AC124" s="495">
        <f t="shared" si="58"/>
        <v>0</v>
      </c>
      <c r="AD124" s="496">
        <f t="shared" si="58"/>
        <v>0</v>
      </c>
      <c r="AE124" s="433">
        <f>AA124*AB124*AC124*AD124</f>
        <v>0</v>
      </c>
      <c r="AF124" s="411">
        <f t="shared" si="48"/>
        <v>0</v>
      </c>
      <c r="AI124" s="447">
        <f t="shared" si="61"/>
        <v>0</v>
      </c>
      <c r="AJ124" s="491" t="str">
        <f>VLOOKUP(AI124,Treatments!$C$7:$J$407,2)</f>
        <v>No treatment</v>
      </c>
      <c r="AK124" s="495">
        <f t="shared" si="62"/>
        <v>0</v>
      </c>
      <c r="AL124" s="433">
        <f>VLOOKUP(AI124,Treatments!$C$7:$J$407,8)</f>
        <v>0</v>
      </c>
      <c r="AM124" s="495">
        <f t="shared" si="63"/>
        <v>0</v>
      </c>
      <c r="AN124" s="160"/>
      <c r="AO124" s="496">
        <f t="shared" si="64"/>
        <v>0</v>
      </c>
      <c r="AP124" s="433">
        <f t="shared" si="68"/>
        <v>0</v>
      </c>
      <c r="AQ124" s="411">
        <f t="shared" si="65"/>
        <v>0</v>
      </c>
      <c r="AR124" s="1"/>
    </row>
    <row r="125" spans="2:44" ht="15.75" x14ac:dyDescent="0.25">
      <c r="B125" s="304"/>
      <c r="C125" s="1"/>
      <c r="D125" s="304"/>
      <c r="E125" s="1"/>
      <c r="F125" s="304"/>
      <c r="G125" s="6"/>
      <c r="H125" s="1"/>
      <c r="I125" s="1"/>
      <c r="L125" s="305"/>
      <c r="M125" s="491" t="str">
        <f>VLOOKUP(L125,Treatments!$C$7:$J$407,2)</f>
        <v>No treatment</v>
      </c>
      <c r="N125" s="306"/>
      <c r="O125" s="433">
        <f>VLOOKUP(L125,Treatments!$C$7:$J$407,8)</f>
        <v>0</v>
      </c>
      <c r="P125" s="305"/>
      <c r="Q125" s="160"/>
      <c r="R125" s="308"/>
      <c r="S125" s="433">
        <f t="shared" si="66"/>
        <v>0</v>
      </c>
      <c r="T125" s="411">
        <f t="shared" si="67"/>
        <v>0</v>
      </c>
      <c r="U125" s="1"/>
      <c r="Y125" s="1"/>
      <c r="Z125" s="1"/>
      <c r="AA125" s="6"/>
      <c r="AB125" s="6"/>
      <c r="AC125" s="6"/>
      <c r="AD125" s="6"/>
      <c r="AE125" s="6"/>
      <c r="AF125" s="6"/>
      <c r="AI125" s="447">
        <f t="shared" si="61"/>
        <v>0</v>
      </c>
      <c r="AJ125" s="491" t="str">
        <f>VLOOKUP(AI125,Treatments!$C$7:$J$407,2)</f>
        <v>No treatment</v>
      </c>
      <c r="AK125" s="495">
        <f t="shared" si="62"/>
        <v>0</v>
      </c>
      <c r="AL125" s="433">
        <f>VLOOKUP(AI125,Treatments!$C$7:$J$407,8)</f>
        <v>0</v>
      </c>
      <c r="AM125" s="495">
        <f t="shared" si="63"/>
        <v>0</v>
      </c>
      <c r="AN125" s="160"/>
      <c r="AO125" s="496">
        <f t="shared" si="64"/>
        <v>0</v>
      </c>
      <c r="AP125" s="433">
        <f t="shared" si="68"/>
        <v>0</v>
      </c>
      <c r="AQ125" s="411">
        <f t="shared" si="65"/>
        <v>0</v>
      </c>
      <c r="AR125" s="1"/>
    </row>
    <row r="126" spans="2:44" ht="15.75" x14ac:dyDescent="0.25">
      <c r="B126" s="379" t="s">
        <v>994</v>
      </c>
      <c r="C126" s="502" t="s">
        <v>580</v>
      </c>
      <c r="D126" s="381" t="s">
        <v>616</v>
      </c>
      <c r="E126" s="501" t="s">
        <v>619</v>
      </c>
      <c r="F126" s="382" t="s">
        <v>617</v>
      </c>
      <c r="G126" s="504" t="s">
        <v>618</v>
      </c>
      <c r="H126" s="505"/>
      <c r="I126" s="506"/>
      <c r="L126" s="305"/>
      <c r="M126" s="491" t="str">
        <f>VLOOKUP(L126,Treatments!$C$7:$J$407,2)</f>
        <v>No treatment</v>
      </c>
      <c r="N126" s="306"/>
      <c r="O126" s="433">
        <f>VLOOKUP(L126,Treatments!$C$7:$J$407,8)</f>
        <v>0</v>
      </c>
      <c r="P126" s="305"/>
      <c r="Q126" s="160"/>
      <c r="R126" s="308"/>
      <c r="S126" s="433">
        <f t="shared" si="66"/>
        <v>0</v>
      </c>
      <c r="T126" s="411">
        <f t="shared" si="67"/>
        <v>0</v>
      </c>
      <c r="U126" s="1"/>
      <c r="Y126" s="6" t="s">
        <v>994</v>
      </c>
      <c r="Z126" s="5" t="s">
        <v>580</v>
      </c>
      <c r="AA126" s="6" t="s">
        <v>616</v>
      </c>
      <c r="AB126" s="6" t="s">
        <v>619</v>
      </c>
      <c r="AC126" s="6" t="s">
        <v>617</v>
      </c>
      <c r="AD126" s="6" t="s">
        <v>618</v>
      </c>
      <c r="AE126" s="507"/>
      <c r="AF126" s="508"/>
      <c r="AI126" s="447">
        <f t="shared" si="61"/>
        <v>0</v>
      </c>
      <c r="AJ126" s="491" t="str">
        <f>VLOOKUP(AI126,Treatments!$C$7:$J$407,2)</f>
        <v>No treatment</v>
      </c>
      <c r="AK126" s="495">
        <f t="shared" si="62"/>
        <v>0</v>
      </c>
      <c r="AL126" s="433">
        <f>VLOOKUP(AI126,Treatments!$C$7:$J$407,8)</f>
        <v>0</v>
      </c>
      <c r="AM126" s="495">
        <f t="shared" si="63"/>
        <v>0</v>
      </c>
      <c r="AN126" s="160"/>
      <c r="AO126" s="496">
        <f t="shared" si="64"/>
        <v>0</v>
      </c>
      <c r="AP126" s="433">
        <f t="shared" si="68"/>
        <v>0</v>
      </c>
      <c r="AQ126" s="411">
        <f t="shared" si="65"/>
        <v>0</v>
      </c>
      <c r="AR126" s="1"/>
    </row>
    <row r="127" spans="2:44" ht="15.75" x14ac:dyDescent="0.25">
      <c r="B127" s="305"/>
      <c r="C127" s="491" t="str">
        <f>IF(B127&lt;=0,"",VLOOKUP(B127,Treatments!$C$7:$J$407,2))</f>
        <v/>
      </c>
      <c r="D127" s="306"/>
      <c r="E127" s="433">
        <f>VLOOKUP(B127,Treatments!$C$7:$J$407,8)</f>
        <v>0</v>
      </c>
      <c r="F127" s="305"/>
      <c r="G127" s="493"/>
      <c r="H127" s="433">
        <f t="shared" ref="H127:H138" si="69">D127*E127*F127*G127</f>
        <v>0</v>
      </c>
      <c r="I127" s="411">
        <f>H127*$D$9</f>
        <v>0</v>
      </c>
      <c r="L127" s="305"/>
      <c r="M127" s="491" t="str">
        <f>VLOOKUP(L127,Treatments!$C$7:$J$407,2)</f>
        <v>No treatment</v>
      </c>
      <c r="N127" s="306"/>
      <c r="O127" s="433">
        <f>VLOOKUP(L127,Treatments!$C$7:$J$407,8)</f>
        <v>0</v>
      </c>
      <c r="P127" s="305"/>
      <c r="Q127" s="160"/>
      <c r="R127" s="308"/>
      <c r="S127" s="433">
        <f t="shared" si="66"/>
        <v>0</v>
      </c>
      <c r="T127" s="411">
        <f t="shared" si="67"/>
        <v>0</v>
      </c>
      <c r="U127" s="1"/>
      <c r="Y127" s="447">
        <f>IF(AND(B127&gt;=344,B127&lt;=358),B127+15,B127)</f>
        <v>0</v>
      </c>
      <c r="Z127" s="491" t="str">
        <f>VLOOKUP(Y127,Treatments!$C$7:$J$407,2)</f>
        <v>No treatment</v>
      </c>
      <c r="AA127" s="495">
        <f t="shared" ref="AA127:AA138" si="70">D127</f>
        <v>0</v>
      </c>
      <c r="AB127" s="433">
        <f>VLOOKUP(Y127,Treatments!$C$7:$J$407,8)</f>
        <v>0</v>
      </c>
      <c r="AC127" s="495">
        <f t="shared" ref="AC127:AD138" si="71">F127</f>
        <v>0</v>
      </c>
      <c r="AD127" s="496">
        <f t="shared" si="71"/>
        <v>0</v>
      </c>
      <c r="AE127" s="433">
        <f t="shared" ref="AE127:AE138" si="72">AA127*AB127*AC127*AD127</f>
        <v>0</v>
      </c>
      <c r="AF127" s="411">
        <f t="shared" ref="AF127:AF138" si="73">AE127*$D$9</f>
        <v>0</v>
      </c>
      <c r="AI127" s="447">
        <f t="shared" si="61"/>
        <v>0</v>
      </c>
      <c r="AJ127" s="491" t="str">
        <f>VLOOKUP(AI127,Treatments!$C$7:$J$407,2)</f>
        <v>No treatment</v>
      </c>
      <c r="AK127" s="495">
        <f t="shared" si="62"/>
        <v>0</v>
      </c>
      <c r="AL127" s="433">
        <f>VLOOKUP(AI127,Treatments!$C$7:$J$407,8)</f>
        <v>0</v>
      </c>
      <c r="AM127" s="495">
        <f t="shared" si="63"/>
        <v>0</v>
      </c>
      <c r="AN127" s="160"/>
      <c r="AO127" s="496">
        <f t="shared" si="64"/>
        <v>0</v>
      </c>
      <c r="AP127" s="433">
        <f t="shared" si="68"/>
        <v>0</v>
      </c>
      <c r="AQ127" s="411">
        <f t="shared" si="65"/>
        <v>0</v>
      </c>
      <c r="AR127" s="1"/>
    </row>
    <row r="128" spans="2:44" ht="15.75" x14ac:dyDescent="0.25">
      <c r="B128" s="305">
        <v>345</v>
      </c>
      <c r="C128" s="491" t="str">
        <f>IF(B128&lt;=0,"",VLOOKUP(B128,Treatments!$C$7:$J$407,2))</f>
        <v>No till seeder</v>
      </c>
      <c r="D128" s="306">
        <v>1</v>
      </c>
      <c r="E128" s="433">
        <f>VLOOKUP(B128,Treatments!$C$7:$J$407,8)</f>
        <v>12.3</v>
      </c>
      <c r="F128" s="305">
        <v>1</v>
      </c>
      <c r="G128" s="493">
        <v>1</v>
      </c>
      <c r="H128" s="433">
        <f t="shared" si="69"/>
        <v>12.3</v>
      </c>
      <c r="I128" s="411">
        <f t="shared" ref="I128:I138" si="74">H128*$D$9</f>
        <v>1107</v>
      </c>
      <c r="L128" s="435"/>
      <c r="M128" s="491" t="str">
        <f>VLOOKUP(L128,Treatments!$C$7:$J$407,2)</f>
        <v>No treatment</v>
      </c>
      <c r="N128" s="492"/>
      <c r="O128" s="433">
        <f>VLOOKUP(L128,Treatments!$C$7:$J$407,8)</f>
        <v>0</v>
      </c>
      <c r="P128" s="435"/>
      <c r="Q128" s="160"/>
      <c r="R128" s="493"/>
      <c r="S128" s="433">
        <f t="shared" si="66"/>
        <v>0</v>
      </c>
      <c r="T128" s="411">
        <f t="shared" si="67"/>
        <v>0</v>
      </c>
      <c r="U128" s="1"/>
      <c r="Y128" s="447">
        <f t="shared" ref="Y128:Y138" si="75">IF(AND(B128&gt;=344,B128&lt;=358),B128+15,B128)</f>
        <v>360</v>
      </c>
      <c r="Z128" s="491" t="str">
        <f>VLOOKUP(Y128,Treatments!$C$7:$J$407,2)</f>
        <v>No till seeder</v>
      </c>
      <c r="AA128" s="495">
        <f t="shared" si="70"/>
        <v>1</v>
      </c>
      <c r="AB128" s="433">
        <f>VLOOKUP(Y128,Treatments!$C$7:$J$407,8)</f>
        <v>32.082500000000003</v>
      </c>
      <c r="AC128" s="495">
        <f t="shared" si="71"/>
        <v>1</v>
      </c>
      <c r="AD128" s="496">
        <f t="shared" si="71"/>
        <v>1</v>
      </c>
      <c r="AE128" s="433">
        <f t="shared" si="72"/>
        <v>32.082500000000003</v>
      </c>
      <c r="AF128" s="411">
        <f t="shared" si="73"/>
        <v>2887.4250000000002</v>
      </c>
      <c r="AI128" s="447">
        <f t="shared" si="61"/>
        <v>0</v>
      </c>
      <c r="AJ128" s="491" t="str">
        <f>VLOOKUP(AI128,Treatments!$C$7:$J$407,2)</f>
        <v>No treatment</v>
      </c>
      <c r="AK128" s="495">
        <f t="shared" si="62"/>
        <v>0</v>
      </c>
      <c r="AL128" s="433">
        <f>VLOOKUP(AI128,Treatments!$C$7:$J$407,8)</f>
        <v>0</v>
      </c>
      <c r="AM128" s="495">
        <f t="shared" si="63"/>
        <v>0</v>
      </c>
      <c r="AN128" s="160"/>
      <c r="AO128" s="496">
        <f t="shared" si="64"/>
        <v>0</v>
      </c>
      <c r="AP128" s="433">
        <f t="shared" si="68"/>
        <v>0</v>
      </c>
      <c r="AQ128" s="411">
        <f t="shared" si="65"/>
        <v>0</v>
      </c>
      <c r="AR128" s="1"/>
    </row>
    <row r="129" spans="2:44" ht="15.75" x14ac:dyDescent="0.25">
      <c r="B129" s="305">
        <v>293</v>
      </c>
      <c r="C129" s="491" t="str">
        <f>IF(B129&lt;=0,"",VLOOKUP(B129,Treatments!$C$7:$J$407,2))</f>
        <v>Oats seed</v>
      </c>
      <c r="D129" s="306">
        <v>40</v>
      </c>
      <c r="E129" s="433">
        <f>VLOOKUP(B129,Treatments!$C$7:$J$407,8)</f>
        <v>1</v>
      </c>
      <c r="F129" s="305">
        <v>1</v>
      </c>
      <c r="G129" s="493">
        <v>1</v>
      </c>
      <c r="H129" s="433">
        <f t="shared" si="69"/>
        <v>40</v>
      </c>
      <c r="I129" s="411">
        <f t="shared" si="74"/>
        <v>3600</v>
      </c>
      <c r="L129" s="435"/>
      <c r="M129" s="491" t="str">
        <f>VLOOKUP(L129,Treatments!$C$7:$J$407,2)</f>
        <v>No treatment</v>
      </c>
      <c r="N129" s="492"/>
      <c r="O129" s="433">
        <f>VLOOKUP(L129,Treatments!$C$7:$J$407,8)</f>
        <v>0</v>
      </c>
      <c r="P129" s="435"/>
      <c r="Q129" s="498"/>
      <c r="R129" s="493"/>
      <c r="S129" s="433">
        <f t="shared" si="66"/>
        <v>0</v>
      </c>
      <c r="T129" s="411">
        <f t="shared" si="67"/>
        <v>0</v>
      </c>
      <c r="U129" s="1"/>
      <c r="Y129" s="447">
        <f t="shared" si="75"/>
        <v>293</v>
      </c>
      <c r="Z129" s="491" t="str">
        <f>VLOOKUP(Y129,Treatments!$C$7:$J$407,2)</f>
        <v>Oats seed</v>
      </c>
      <c r="AA129" s="495">
        <f t="shared" si="70"/>
        <v>40</v>
      </c>
      <c r="AB129" s="433">
        <f>VLOOKUP(Y129,Treatments!$C$7:$J$407,8)</f>
        <v>1</v>
      </c>
      <c r="AC129" s="495">
        <f t="shared" si="71"/>
        <v>1</v>
      </c>
      <c r="AD129" s="496">
        <f t="shared" si="71"/>
        <v>1</v>
      </c>
      <c r="AE129" s="433">
        <f t="shared" si="72"/>
        <v>40</v>
      </c>
      <c r="AF129" s="411">
        <f t="shared" si="73"/>
        <v>3600</v>
      </c>
      <c r="AI129" s="447">
        <f t="shared" si="61"/>
        <v>0</v>
      </c>
      <c r="AJ129" s="491" t="str">
        <f>VLOOKUP(AI129,Treatments!$C$7:$J$407,2)</f>
        <v>No treatment</v>
      </c>
      <c r="AK129" s="495">
        <f t="shared" si="62"/>
        <v>0</v>
      </c>
      <c r="AL129" s="433">
        <f>VLOOKUP(AI129,Treatments!$C$7:$J$407,8)</f>
        <v>0</v>
      </c>
      <c r="AM129" s="495">
        <f t="shared" si="63"/>
        <v>0</v>
      </c>
      <c r="AN129" s="498"/>
      <c r="AO129" s="496">
        <f t="shared" si="64"/>
        <v>0</v>
      </c>
      <c r="AP129" s="433">
        <f t="shared" si="68"/>
        <v>0</v>
      </c>
      <c r="AQ129" s="411">
        <f t="shared" si="65"/>
        <v>0</v>
      </c>
      <c r="AR129" s="1"/>
    </row>
    <row r="130" spans="2:44" ht="15.75" x14ac:dyDescent="0.25">
      <c r="B130" s="305">
        <v>345</v>
      </c>
      <c r="C130" s="491" t="str">
        <f>IF(B130&lt;=0,"",VLOOKUP(B130,Treatments!$C$7:$J$407,2))</f>
        <v>No till seeder</v>
      </c>
      <c r="D130" s="306">
        <v>1</v>
      </c>
      <c r="E130" s="433">
        <f>VLOOKUP(B130,Treatments!$C$7:$J$407,8)</f>
        <v>12.3</v>
      </c>
      <c r="F130" s="305">
        <v>1</v>
      </c>
      <c r="G130" s="493">
        <v>1</v>
      </c>
      <c r="H130" s="433">
        <f t="shared" si="69"/>
        <v>12.3</v>
      </c>
      <c r="I130" s="411">
        <f t="shared" si="74"/>
        <v>1107</v>
      </c>
      <c r="L130" s="1"/>
      <c r="M130" s="1"/>
      <c r="N130" s="1"/>
      <c r="O130" s="1"/>
      <c r="P130" s="1"/>
      <c r="Q130" s="1"/>
      <c r="R130" s="6"/>
      <c r="S130" s="1"/>
      <c r="T130" s="1"/>
      <c r="U130" s="1"/>
      <c r="Y130" s="447">
        <f t="shared" si="75"/>
        <v>360</v>
      </c>
      <c r="Z130" s="491" t="str">
        <f>VLOOKUP(Y130,Treatments!$C$7:$J$407,2)</f>
        <v>No till seeder</v>
      </c>
      <c r="AA130" s="495">
        <f t="shared" si="70"/>
        <v>1</v>
      </c>
      <c r="AB130" s="433">
        <f>VLOOKUP(Y130,Treatments!$C$7:$J$407,8)</f>
        <v>32.082500000000003</v>
      </c>
      <c r="AC130" s="495">
        <f t="shared" si="71"/>
        <v>1</v>
      </c>
      <c r="AD130" s="496">
        <f t="shared" si="71"/>
        <v>1</v>
      </c>
      <c r="AE130" s="433">
        <f t="shared" si="72"/>
        <v>32.082500000000003</v>
      </c>
      <c r="AF130" s="411">
        <f t="shared" si="73"/>
        <v>2887.4250000000002</v>
      </c>
      <c r="AI130" s="509"/>
      <c r="AJ130" s="1"/>
      <c r="AK130" s="1"/>
      <c r="AL130" s="1"/>
      <c r="AM130" s="1"/>
      <c r="AN130" s="1"/>
      <c r="AO130" s="6"/>
      <c r="AP130" s="1"/>
      <c r="AQ130" s="1"/>
      <c r="AR130" s="1"/>
    </row>
    <row r="131" spans="2:44" ht="15.75" x14ac:dyDescent="0.25">
      <c r="B131" s="305">
        <v>90</v>
      </c>
      <c r="C131" s="491" t="str">
        <f>IF(B131&lt;=0,"",VLOOKUP(B131,Treatments!$C$7:$J$407,2))</f>
        <v>Urea</v>
      </c>
      <c r="D131" s="306">
        <v>43.47</v>
      </c>
      <c r="E131" s="433">
        <f>VLOOKUP(B131,Treatments!$C$7:$J$407,8)</f>
        <v>0.5</v>
      </c>
      <c r="F131" s="305">
        <v>1</v>
      </c>
      <c r="G131" s="493">
        <v>1</v>
      </c>
      <c r="H131" s="433">
        <f t="shared" si="69"/>
        <v>21.734999999999999</v>
      </c>
      <c r="I131" s="411">
        <f t="shared" si="74"/>
        <v>1956.1499999999999</v>
      </c>
      <c r="L131" s="482" t="s">
        <v>994</v>
      </c>
      <c r="M131" s="483" t="s">
        <v>581</v>
      </c>
      <c r="N131" s="484" t="s">
        <v>616</v>
      </c>
      <c r="O131" s="482" t="s">
        <v>619</v>
      </c>
      <c r="P131" s="485" t="s">
        <v>617</v>
      </c>
      <c r="Q131" s="482"/>
      <c r="R131" s="485" t="s">
        <v>618</v>
      </c>
      <c r="S131" s="487"/>
      <c r="T131" s="487"/>
      <c r="U131" s="1"/>
      <c r="Y131" s="447">
        <f t="shared" si="75"/>
        <v>90</v>
      </c>
      <c r="Z131" s="491" t="str">
        <f>VLOOKUP(Y131,Treatments!$C$7:$J$407,2)</f>
        <v>Urea</v>
      </c>
      <c r="AA131" s="495">
        <f t="shared" si="70"/>
        <v>43.47</v>
      </c>
      <c r="AB131" s="433">
        <f>VLOOKUP(Y131,Treatments!$C$7:$J$407,8)</f>
        <v>0.5</v>
      </c>
      <c r="AC131" s="495">
        <f t="shared" si="71"/>
        <v>1</v>
      </c>
      <c r="AD131" s="496">
        <f t="shared" si="71"/>
        <v>1</v>
      </c>
      <c r="AE131" s="433">
        <f t="shared" si="72"/>
        <v>21.734999999999999</v>
      </c>
      <c r="AF131" s="411">
        <f t="shared" si="73"/>
        <v>1956.1499999999999</v>
      </c>
      <c r="AI131" s="499" t="s">
        <v>994</v>
      </c>
      <c r="AJ131" s="5" t="s">
        <v>581</v>
      </c>
      <c r="AK131" s="14" t="s">
        <v>616</v>
      </c>
      <c r="AL131" s="6" t="s">
        <v>619</v>
      </c>
      <c r="AM131" s="1" t="s">
        <v>617</v>
      </c>
      <c r="AN131" s="6"/>
      <c r="AO131" s="1" t="s">
        <v>618</v>
      </c>
      <c r="AP131" s="500"/>
      <c r="AQ131" s="62"/>
      <c r="AR131" s="1"/>
    </row>
    <row r="132" spans="2:44" ht="15.75" x14ac:dyDescent="0.25">
      <c r="B132" s="305"/>
      <c r="C132" s="491" t="str">
        <f>IF(B132&lt;=0,"",VLOOKUP(B132,Treatments!$C$7:$J$407,2))</f>
        <v/>
      </c>
      <c r="D132" s="306"/>
      <c r="E132" s="433">
        <f>VLOOKUP(B132,Treatments!$C$7:$J$407,8)</f>
        <v>0</v>
      </c>
      <c r="F132" s="305"/>
      <c r="G132" s="493"/>
      <c r="H132" s="433">
        <f t="shared" si="69"/>
        <v>0</v>
      </c>
      <c r="I132" s="411">
        <f t="shared" si="74"/>
        <v>0</v>
      </c>
      <c r="L132" s="305"/>
      <c r="M132" s="491" t="str">
        <f>VLOOKUP(L132,Treatments!$C$7:$J$407,2)</f>
        <v>No treatment</v>
      </c>
      <c r="N132" s="306"/>
      <c r="O132" s="433">
        <f>VLOOKUP(L132,Treatments!$C$7:$J$407,8)</f>
        <v>0</v>
      </c>
      <c r="P132" s="305"/>
      <c r="Q132" s="494"/>
      <c r="R132" s="308"/>
      <c r="S132" s="433">
        <f t="shared" ref="S132:S137" si="76">N132*O132*P132*R132</f>
        <v>0</v>
      </c>
      <c r="T132" s="411">
        <f t="shared" ref="T132:T138" si="77">S132*$D$9</f>
        <v>0</v>
      </c>
      <c r="U132" s="1"/>
      <c r="Y132" s="447">
        <f t="shared" si="75"/>
        <v>0</v>
      </c>
      <c r="Z132" s="491" t="str">
        <f>VLOOKUP(Y132,Treatments!$C$7:$J$407,2)</f>
        <v>No treatment</v>
      </c>
      <c r="AA132" s="495">
        <f t="shared" si="70"/>
        <v>0</v>
      </c>
      <c r="AB132" s="433">
        <f>VLOOKUP(Y132,Treatments!$C$7:$J$407,8)</f>
        <v>0</v>
      </c>
      <c r="AC132" s="495">
        <f t="shared" si="71"/>
        <v>0</v>
      </c>
      <c r="AD132" s="496">
        <f t="shared" si="71"/>
        <v>0</v>
      </c>
      <c r="AE132" s="433">
        <f t="shared" si="72"/>
        <v>0</v>
      </c>
      <c r="AF132" s="411">
        <f t="shared" si="73"/>
        <v>0</v>
      </c>
      <c r="AI132" s="447">
        <f t="shared" ref="AI132:AI137" si="78">IF(AND(L132&gt;=344,L132&lt;=358),L132+15,L132)</f>
        <v>0</v>
      </c>
      <c r="AJ132" s="491" t="str">
        <f>VLOOKUP(AI132,Treatments!$C$7:$J$407,2)</f>
        <v>No treatment</v>
      </c>
      <c r="AK132" s="495">
        <f t="shared" ref="AK132:AK137" si="79">N132</f>
        <v>0</v>
      </c>
      <c r="AL132" s="433">
        <f>VLOOKUP(AI132,Treatments!$C$7:$J$407,8)</f>
        <v>0</v>
      </c>
      <c r="AM132" s="495">
        <f t="shared" ref="AM132:AM137" si="80">P132</f>
        <v>0</v>
      </c>
      <c r="AN132" s="494"/>
      <c r="AO132" s="496">
        <f t="shared" ref="AO132:AO137" si="81">R132</f>
        <v>0</v>
      </c>
      <c r="AP132" s="433">
        <f t="shared" ref="AP132:AP137" si="82">AK132*AL132*AM132*AO132</f>
        <v>0</v>
      </c>
      <c r="AQ132" s="411">
        <f t="shared" ref="AQ132:AQ137" si="83">AP132*$D$9</f>
        <v>0</v>
      </c>
      <c r="AR132" s="1"/>
    </row>
    <row r="133" spans="2:44" ht="15.75" x14ac:dyDescent="0.25">
      <c r="B133" s="305"/>
      <c r="C133" s="491" t="str">
        <f>IF(B133&lt;=0,"",VLOOKUP(B133,Treatments!$C$7:$J$407,2))</f>
        <v/>
      </c>
      <c r="D133" s="306"/>
      <c r="E133" s="433">
        <f>VLOOKUP(B133,Treatments!$C$7:$J$407,8)</f>
        <v>0</v>
      </c>
      <c r="F133" s="305"/>
      <c r="G133" s="493"/>
      <c r="H133" s="433">
        <f t="shared" si="69"/>
        <v>0</v>
      </c>
      <c r="I133" s="411">
        <f t="shared" si="74"/>
        <v>0</v>
      </c>
      <c r="L133" s="305"/>
      <c r="M133" s="491" t="str">
        <f>VLOOKUP(L133,Treatments!$C$7:$J$407,2)</f>
        <v>No treatment</v>
      </c>
      <c r="N133" s="306"/>
      <c r="O133" s="433">
        <f>VLOOKUP(L133,Treatments!$C$7:$J$407,8)</f>
        <v>0</v>
      </c>
      <c r="P133" s="305"/>
      <c r="Q133" s="160"/>
      <c r="R133" s="308"/>
      <c r="S133" s="433">
        <f t="shared" si="76"/>
        <v>0</v>
      </c>
      <c r="T133" s="411">
        <f t="shared" si="77"/>
        <v>0</v>
      </c>
      <c r="U133" s="1"/>
      <c r="Y133" s="447">
        <f t="shared" si="75"/>
        <v>0</v>
      </c>
      <c r="Z133" s="491" t="str">
        <f>VLOOKUP(Y133,Treatments!$C$7:$J$407,2)</f>
        <v>No treatment</v>
      </c>
      <c r="AA133" s="495">
        <f t="shared" si="70"/>
        <v>0</v>
      </c>
      <c r="AB133" s="433">
        <f>VLOOKUP(Y133,Treatments!$C$7:$J$407,8)</f>
        <v>0</v>
      </c>
      <c r="AC133" s="495">
        <f t="shared" si="71"/>
        <v>0</v>
      </c>
      <c r="AD133" s="496">
        <f t="shared" si="71"/>
        <v>0</v>
      </c>
      <c r="AE133" s="433">
        <f t="shared" si="72"/>
        <v>0</v>
      </c>
      <c r="AF133" s="411">
        <f t="shared" si="73"/>
        <v>0</v>
      </c>
      <c r="AI133" s="447">
        <f t="shared" si="78"/>
        <v>0</v>
      </c>
      <c r="AJ133" s="491" t="str">
        <f>VLOOKUP(AI133,Treatments!$C$7:$J$407,2)</f>
        <v>No treatment</v>
      </c>
      <c r="AK133" s="495">
        <f t="shared" si="79"/>
        <v>0</v>
      </c>
      <c r="AL133" s="433">
        <f>VLOOKUP(AI133,Treatments!$C$7:$J$407,8)</f>
        <v>0</v>
      </c>
      <c r="AM133" s="495">
        <f t="shared" si="80"/>
        <v>0</v>
      </c>
      <c r="AN133" s="160"/>
      <c r="AO133" s="496">
        <f t="shared" si="81"/>
        <v>0</v>
      </c>
      <c r="AP133" s="433">
        <f t="shared" si="82"/>
        <v>0</v>
      </c>
      <c r="AQ133" s="411">
        <f t="shared" si="83"/>
        <v>0</v>
      </c>
      <c r="AR133" s="1"/>
    </row>
    <row r="134" spans="2:44" ht="15.75" x14ac:dyDescent="0.25">
      <c r="B134" s="305"/>
      <c r="C134" s="491" t="str">
        <f>IF(B134&lt;=0,"",VLOOKUP(B134,Treatments!$C$7:$J$407,2))</f>
        <v/>
      </c>
      <c r="D134" s="306"/>
      <c r="E134" s="433">
        <f>VLOOKUP(B134,Treatments!$C$7:$J$407,8)</f>
        <v>0</v>
      </c>
      <c r="F134" s="305"/>
      <c r="G134" s="493"/>
      <c r="H134" s="433">
        <f t="shared" si="69"/>
        <v>0</v>
      </c>
      <c r="I134" s="411">
        <f t="shared" si="74"/>
        <v>0</v>
      </c>
      <c r="L134" s="305"/>
      <c r="M134" s="491" t="str">
        <f>VLOOKUP(L134,Treatments!$C$7:$J$407,2)</f>
        <v>No treatment</v>
      </c>
      <c r="N134" s="306"/>
      <c r="O134" s="433">
        <f>VLOOKUP(L134,Treatments!$C$7:$J$407,8)</f>
        <v>0</v>
      </c>
      <c r="P134" s="305"/>
      <c r="Q134" s="160"/>
      <c r="R134" s="308"/>
      <c r="S134" s="433">
        <f t="shared" si="76"/>
        <v>0</v>
      </c>
      <c r="T134" s="411">
        <f t="shared" si="77"/>
        <v>0</v>
      </c>
      <c r="U134" s="1"/>
      <c r="Y134" s="447">
        <f t="shared" si="75"/>
        <v>0</v>
      </c>
      <c r="Z134" s="491" t="str">
        <f>VLOOKUP(Y134,Treatments!$C$7:$J$407,2)</f>
        <v>No treatment</v>
      </c>
      <c r="AA134" s="495">
        <f t="shared" si="70"/>
        <v>0</v>
      </c>
      <c r="AB134" s="433">
        <f>VLOOKUP(Y134,Treatments!$C$7:$J$407,8)</f>
        <v>0</v>
      </c>
      <c r="AC134" s="495">
        <f t="shared" si="71"/>
        <v>0</v>
      </c>
      <c r="AD134" s="496">
        <f t="shared" si="71"/>
        <v>0</v>
      </c>
      <c r="AE134" s="433">
        <f t="shared" si="72"/>
        <v>0</v>
      </c>
      <c r="AF134" s="411">
        <f t="shared" si="73"/>
        <v>0</v>
      </c>
      <c r="AI134" s="447">
        <f t="shared" si="78"/>
        <v>0</v>
      </c>
      <c r="AJ134" s="491" t="str">
        <f>VLOOKUP(AI134,Treatments!$C$7:$J$407,2)</f>
        <v>No treatment</v>
      </c>
      <c r="AK134" s="495">
        <f t="shared" si="79"/>
        <v>0</v>
      </c>
      <c r="AL134" s="433">
        <f>VLOOKUP(AI134,Treatments!$C$7:$J$407,8)</f>
        <v>0</v>
      </c>
      <c r="AM134" s="495">
        <f t="shared" si="80"/>
        <v>0</v>
      </c>
      <c r="AN134" s="160"/>
      <c r="AO134" s="496">
        <f t="shared" si="81"/>
        <v>0</v>
      </c>
      <c r="AP134" s="433">
        <f t="shared" si="82"/>
        <v>0</v>
      </c>
      <c r="AQ134" s="411">
        <f t="shared" si="83"/>
        <v>0</v>
      </c>
      <c r="AR134" s="1"/>
    </row>
    <row r="135" spans="2:44" ht="15.75" x14ac:dyDescent="0.25">
      <c r="B135" s="305"/>
      <c r="C135" s="491" t="str">
        <f>IF(B135&lt;=0,"",VLOOKUP(B135,Treatments!$C$7:$J$407,2))</f>
        <v/>
      </c>
      <c r="D135" s="306"/>
      <c r="E135" s="433">
        <f>VLOOKUP(B135,Treatments!$C$7:$J$407,8)</f>
        <v>0</v>
      </c>
      <c r="F135" s="305"/>
      <c r="G135" s="493"/>
      <c r="H135" s="433">
        <f t="shared" si="69"/>
        <v>0</v>
      </c>
      <c r="I135" s="411">
        <f t="shared" si="74"/>
        <v>0</v>
      </c>
      <c r="L135" s="305"/>
      <c r="M135" s="491" t="str">
        <f>VLOOKUP(L135,Treatments!$C$7:$J$407,2)</f>
        <v>No treatment</v>
      </c>
      <c r="N135" s="306"/>
      <c r="O135" s="433">
        <f>VLOOKUP(L135,Treatments!$C$7:$J$407,8)</f>
        <v>0</v>
      </c>
      <c r="P135" s="305"/>
      <c r="Q135" s="160"/>
      <c r="R135" s="308"/>
      <c r="S135" s="433">
        <f t="shared" si="76"/>
        <v>0</v>
      </c>
      <c r="T135" s="411">
        <f t="shared" si="77"/>
        <v>0</v>
      </c>
      <c r="U135" s="1"/>
      <c r="Y135" s="447">
        <f t="shared" si="75"/>
        <v>0</v>
      </c>
      <c r="Z135" s="491" t="str">
        <f>VLOOKUP(Y135,Treatments!$C$7:$J$407,2)</f>
        <v>No treatment</v>
      </c>
      <c r="AA135" s="495">
        <f t="shared" si="70"/>
        <v>0</v>
      </c>
      <c r="AB135" s="433">
        <f>VLOOKUP(Y135,Treatments!$C$7:$J$407,8)</f>
        <v>0</v>
      </c>
      <c r="AC135" s="495">
        <f t="shared" si="71"/>
        <v>0</v>
      </c>
      <c r="AD135" s="496">
        <f t="shared" si="71"/>
        <v>0</v>
      </c>
      <c r="AE135" s="433">
        <f t="shared" si="72"/>
        <v>0</v>
      </c>
      <c r="AF135" s="411">
        <f t="shared" si="73"/>
        <v>0</v>
      </c>
      <c r="AI135" s="447">
        <f t="shared" si="78"/>
        <v>0</v>
      </c>
      <c r="AJ135" s="491" t="str">
        <f>VLOOKUP(AI135,Treatments!$C$7:$J$407,2)</f>
        <v>No treatment</v>
      </c>
      <c r="AK135" s="495">
        <f t="shared" si="79"/>
        <v>0</v>
      </c>
      <c r="AL135" s="433">
        <f>VLOOKUP(AI135,Treatments!$C$7:$J$407,8)</f>
        <v>0</v>
      </c>
      <c r="AM135" s="495">
        <f t="shared" si="80"/>
        <v>0</v>
      </c>
      <c r="AN135" s="160"/>
      <c r="AO135" s="496">
        <f t="shared" si="81"/>
        <v>0</v>
      </c>
      <c r="AP135" s="433">
        <f t="shared" si="82"/>
        <v>0</v>
      </c>
      <c r="AQ135" s="411">
        <f t="shared" si="83"/>
        <v>0</v>
      </c>
      <c r="AR135" s="1"/>
    </row>
    <row r="136" spans="2:44" ht="15.75" x14ac:dyDescent="0.25">
      <c r="B136" s="305"/>
      <c r="C136" s="491" t="str">
        <f>IF(B136&lt;=0,"",VLOOKUP(B136,Treatments!$C$7:$J$407,2))</f>
        <v/>
      </c>
      <c r="D136" s="306"/>
      <c r="E136" s="433">
        <f>VLOOKUP(B136,Treatments!$C$7:$J$407,8)</f>
        <v>0</v>
      </c>
      <c r="F136" s="305"/>
      <c r="G136" s="493"/>
      <c r="H136" s="433">
        <f t="shared" si="69"/>
        <v>0</v>
      </c>
      <c r="I136" s="411">
        <f t="shared" si="74"/>
        <v>0</v>
      </c>
      <c r="L136" s="435"/>
      <c r="M136" s="491" t="str">
        <f>VLOOKUP(L136,Treatments!$C$7:$J$407,2)</f>
        <v>No treatment</v>
      </c>
      <c r="N136" s="492"/>
      <c r="O136" s="433">
        <f>VLOOKUP(L136,Treatments!$C$7:$J$407,8)</f>
        <v>0</v>
      </c>
      <c r="P136" s="435"/>
      <c r="Q136" s="160"/>
      <c r="R136" s="308"/>
      <c r="S136" s="433">
        <f t="shared" si="76"/>
        <v>0</v>
      </c>
      <c r="T136" s="411">
        <f t="shared" si="77"/>
        <v>0</v>
      </c>
      <c r="U136" s="1"/>
      <c r="Y136" s="447">
        <f t="shared" si="75"/>
        <v>0</v>
      </c>
      <c r="Z136" s="491" t="str">
        <f>VLOOKUP(Y136,Treatments!$C$7:$J$407,2)</f>
        <v>No treatment</v>
      </c>
      <c r="AA136" s="495">
        <f t="shared" si="70"/>
        <v>0</v>
      </c>
      <c r="AB136" s="433">
        <f>VLOOKUP(Y136,Treatments!$C$7:$J$407,8)</f>
        <v>0</v>
      </c>
      <c r="AC136" s="495">
        <f t="shared" si="71"/>
        <v>0</v>
      </c>
      <c r="AD136" s="496">
        <f t="shared" si="71"/>
        <v>0</v>
      </c>
      <c r="AE136" s="433">
        <f t="shared" si="72"/>
        <v>0</v>
      </c>
      <c r="AF136" s="411">
        <f t="shared" si="73"/>
        <v>0</v>
      </c>
      <c r="AI136" s="447">
        <f t="shared" si="78"/>
        <v>0</v>
      </c>
      <c r="AJ136" s="491" t="str">
        <f>VLOOKUP(AI136,Treatments!$C$7:$J$407,2)</f>
        <v>No treatment</v>
      </c>
      <c r="AK136" s="495">
        <f t="shared" si="79"/>
        <v>0</v>
      </c>
      <c r="AL136" s="433">
        <f>VLOOKUP(AI136,Treatments!$C$7:$J$407,8)</f>
        <v>0</v>
      </c>
      <c r="AM136" s="495">
        <f t="shared" si="80"/>
        <v>0</v>
      </c>
      <c r="AN136" s="160"/>
      <c r="AO136" s="496">
        <f t="shared" si="81"/>
        <v>0</v>
      </c>
      <c r="AP136" s="433">
        <f t="shared" si="82"/>
        <v>0</v>
      </c>
      <c r="AQ136" s="411">
        <f t="shared" si="83"/>
        <v>0</v>
      </c>
      <c r="AR136" s="1"/>
    </row>
    <row r="137" spans="2:44" ht="15.75" x14ac:dyDescent="0.25">
      <c r="B137" s="305"/>
      <c r="C137" s="491" t="str">
        <f>IF(B137&lt;=0,"",VLOOKUP(B137,Treatments!$C$7:$J$407,2))</f>
        <v/>
      </c>
      <c r="D137" s="306"/>
      <c r="E137" s="433">
        <f>VLOOKUP(B137,Treatments!$C$7:$J$407,8)</f>
        <v>0</v>
      </c>
      <c r="F137" s="305"/>
      <c r="G137" s="493"/>
      <c r="H137" s="433">
        <f t="shared" si="69"/>
        <v>0</v>
      </c>
      <c r="I137" s="411">
        <f t="shared" si="74"/>
        <v>0</v>
      </c>
      <c r="L137" s="435"/>
      <c r="M137" s="491" t="str">
        <f>VLOOKUP(L137,Treatments!$C$7:$J$407,2)</f>
        <v>No treatment</v>
      </c>
      <c r="N137" s="492"/>
      <c r="O137" s="433">
        <f>VLOOKUP(L137,Treatments!$C$7:$J$407,8)</f>
        <v>0</v>
      </c>
      <c r="P137" s="435"/>
      <c r="Q137" s="498"/>
      <c r="R137" s="493"/>
      <c r="S137" s="433">
        <f t="shared" si="76"/>
        <v>0</v>
      </c>
      <c r="T137" s="411">
        <f t="shared" si="77"/>
        <v>0</v>
      </c>
      <c r="U137" s="1"/>
      <c r="Y137" s="447">
        <f t="shared" si="75"/>
        <v>0</v>
      </c>
      <c r="Z137" s="491" t="str">
        <f>VLOOKUP(Y137,Treatments!$C$7:$J$407,2)</f>
        <v>No treatment</v>
      </c>
      <c r="AA137" s="495">
        <f t="shared" si="70"/>
        <v>0</v>
      </c>
      <c r="AB137" s="433">
        <f>VLOOKUP(Y137,Treatments!$C$7:$J$407,8)</f>
        <v>0</v>
      </c>
      <c r="AC137" s="495">
        <f t="shared" si="71"/>
        <v>0</v>
      </c>
      <c r="AD137" s="496">
        <f t="shared" si="71"/>
        <v>0</v>
      </c>
      <c r="AE137" s="433">
        <f t="shared" si="72"/>
        <v>0</v>
      </c>
      <c r="AF137" s="411">
        <f t="shared" si="73"/>
        <v>0</v>
      </c>
      <c r="AI137" s="447">
        <f t="shared" si="78"/>
        <v>0</v>
      </c>
      <c r="AJ137" s="491" t="str">
        <f>VLOOKUP(AI137,Treatments!$C$7:$J$407,2)</f>
        <v>No treatment</v>
      </c>
      <c r="AK137" s="495">
        <f t="shared" si="79"/>
        <v>0</v>
      </c>
      <c r="AL137" s="433">
        <f>VLOOKUP(AI137,Treatments!$C$7:$J$407,8)</f>
        <v>0</v>
      </c>
      <c r="AM137" s="495">
        <f t="shared" si="80"/>
        <v>0</v>
      </c>
      <c r="AN137" s="498"/>
      <c r="AO137" s="496">
        <f t="shared" si="81"/>
        <v>0</v>
      </c>
      <c r="AP137" s="433">
        <f t="shared" si="82"/>
        <v>0</v>
      </c>
      <c r="AQ137" s="411">
        <f t="shared" si="83"/>
        <v>0</v>
      </c>
      <c r="AR137" s="1"/>
    </row>
    <row r="138" spans="2:44" ht="15.75" x14ac:dyDescent="0.25">
      <c r="B138" s="305"/>
      <c r="C138" s="491" t="str">
        <f>IF(B138&lt;=0,"",VLOOKUP(B138,Treatments!$C$7:$J$407,2))</f>
        <v/>
      </c>
      <c r="D138" s="306"/>
      <c r="E138" s="433">
        <f>VLOOKUP(B138,Treatments!$C$7:$J$407,8)</f>
        <v>0</v>
      </c>
      <c r="F138" s="305"/>
      <c r="G138" s="493"/>
      <c r="H138" s="433">
        <f t="shared" si="69"/>
        <v>0</v>
      </c>
      <c r="I138" s="411">
        <f t="shared" si="74"/>
        <v>0</v>
      </c>
      <c r="L138" s="1"/>
      <c r="M138" s="14"/>
      <c r="N138" s="13" t="s">
        <v>584</v>
      </c>
      <c r="O138" s="6"/>
      <c r="P138" s="1"/>
      <c r="Q138" s="6"/>
      <c r="R138" s="1"/>
      <c r="S138" s="510">
        <f>SUM(S110:S137)</f>
        <v>0</v>
      </c>
      <c r="T138" s="411">
        <f t="shared" si="77"/>
        <v>0</v>
      </c>
      <c r="U138" s="1"/>
      <c r="Y138" s="447">
        <f t="shared" si="75"/>
        <v>0</v>
      </c>
      <c r="Z138" s="491" t="str">
        <f>VLOOKUP(Y138,Treatments!$C$7:$J$407,2)</f>
        <v>No treatment</v>
      </c>
      <c r="AA138" s="495">
        <f t="shared" si="70"/>
        <v>0</v>
      </c>
      <c r="AB138" s="433">
        <f>VLOOKUP(Y138,Treatments!$C$7:$J$407,8)</f>
        <v>0</v>
      </c>
      <c r="AC138" s="495">
        <f t="shared" si="71"/>
        <v>0</v>
      </c>
      <c r="AD138" s="496">
        <f t="shared" si="71"/>
        <v>0</v>
      </c>
      <c r="AE138" s="433">
        <f t="shared" si="72"/>
        <v>0</v>
      </c>
      <c r="AF138" s="411">
        <f t="shared" si="73"/>
        <v>0</v>
      </c>
      <c r="AI138" s="1"/>
      <c r="AJ138" s="14"/>
      <c r="AK138" s="13" t="s">
        <v>584</v>
      </c>
      <c r="AL138" s="6"/>
      <c r="AM138" s="1"/>
      <c r="AN138" s="6"/>
      <c r="AO138" s="1"/>
      <c r="AP138" s="510">
        <f>SUM(AP110:AP137)</f>
        <v>0</v>
      </c>
      <c r="AQ138" s="510">
        <f>SUM(AQ110:AQ137)</f>
        <v>0</v>
      </c>
      <c r="AR138" s="1"/>
    </row>
    <row r="139" spans="2:44" ht="15.75" x14ac:dyDescent="0.25">
      <c r="B139" s="304"/>
      <c r="C139" s="1"/>
      <c r="D139" s="304"/>
      <c r="E139" s="1"/>
      <c r="F139" s="304"/>
      <c r="G139" s="6"/>
      <c r="H139" s="1"/>
      <c r="I139" s="1"/>
      <c r="L139" s="1"/>
      <c r="M139" s="1"/>
      <c r="N139" s="1"/>
      <c r="O139" s="1"/>
      <c r="P139" s="1"/>
      <c r="Q139" s="1"/>
      <c r="R139" s="1"/>
      <c r="S139" s="1"/>
      <c r="T139" s="1"/>
      <c r="U139" s="1"/>
      <c r="Y139" s="1"/>
      <c r="Z139" s="1"/>
      <c r="AA139" s="6"/>
      <c r="AB139" s="6"/>
      <c r="AC139" s="6"/>
      <c r="AD139" s="6"/>
      <c r="AE139" s="6"/>
      <c r="AF139" s="6"/>
      <c r="AI139" s="1"/>
      <c r="AJ139" s="1"/>
      <c r="AK139" s="1"/>
      <c r="AL139" s="1"/>
      <c r="AM139" s="1"/>
      <c r="AN139" s="1"/>
      <c r="AO139" s="1"/>
      <c r="AP139" s="1"/>
      <c r="AQ139" s="1"/>
      <c r="AR139" s="1"/>
    </row>
    <row r="140" spans="2:44" ht="15.75" x14ac:dyDescent="0.25">
      <c r="B140" s="379" t="s">
        <v>994</v>
      </c>
      <c r="C140" s="502" t="s">
        <v>581</v>
      </c>
      <c r="D140" s="381" t="s">
        <v>616</v>
      </c>
      <c r="E140" s="501" t="s">
        <v>619</v>
      </c>
      <c r="F140" s="382" t="s">
        <v>617</v>
      </c>
      <c r="G140" s="504" t="s">
        <v>618</v>
      </c>
      <c r="H140" s="505"/>
      <c r="I140" s="506"/>
      <c r="L140" s="1"/>
      <c r="M140" s="1"/>
      <c r="N140" s="1"/>
      <c r="O140" s="1"/>
      <c r="P140" s="1"/>
      <c r="Q140" s="1"/>
      <c r="R140" s="1"/>
      <c r="S140" s="511"/>
      <c r="T140" s="512"/>
      <c r="U140" s="1"/>
      <c r="Y140" s="6" t="s">
        <v>994</v>
      </c>
      <c r="Z140" s="5" t="s">
        <v>581</v>
      </c>
      <c r="AA140" s="6" t="s">
        <v>616</v>
      </c>
      <c r="AB140" s="6" t="s">
        <v>619</v>
      </c>
      <c r="AC140" s="6" t="s">
        <v>617</v>
      </c>
      <c r="AD140" s="6" t="s">
        <v>618</v>
      </c>
      <c r="AE140" s="507"/>
      <c r="AF140" s="508"/>
      <c r="AI140" s="1"/>
      <c r="AJ140" s="1"/>
      <c r="AK140" s="1"/>
      <c r="AL140" s="1"/>
      <c r="AM140" s="1"/>
      <c r="AN140" s="1"/>
      <c r="AO140" s="1"/>
      <c r="AP140" s="511"/>
      <c r="AQ140" s="512"/>
      <c r="AR140" s="1"/>
    </row>
    <row r="141" spans="2:44" ht="15.75" x14ac:dyDescent="0.25">
      <c r="B141" s="305"/>
      <c r="C141" s="491" t="str">
        <f>IF(B141&lt;=0,"",VLOOKUP(B141,Treatments!$C$7:$J$407,2))</f>
        <v/>
      </c>
      <c r="D141" s="306"/>
      <c r="E141" s="433">
        <f>VLOOKUP(B141,Treatments!$C$7:$J$407,8)</f>
        <v>0</v>
      </c>
      <c r="F141" s="305"/>
      <c r="G141" s="308"/>
      <c r="H141" s="433">
        <f t="shared" ref="H141:H147" si="84">D141*E141*F141*G141</f>
        <v>0</v>
      </c>
      <c r="I141" s="411">
        <f>H141*$D$9</f>
        <v>0</v>
      </c>
      <c r="L141" s="1"/>
      <c r="N141" s="1"/>
      <c r="O141" s="1"/>
      <c r="P141" s="1"/>
      <c r="Q141" s="1"/>
      <c r="R141" s="12" t="s">
        <v>794</v>
      </c>
      <c r="S141" s="513"/>
      <c r="T141" s="510">
        <f>S141*$D$9</f>
        <v>0</v>
      </c>
      <c r="U141" s="1"/>
      <c r="Y141" s="447">
        <f t="shared" ref="Y141:Y146" si="85">IF(AND(B141&gt;=344,B141&lt;=358),B141+15,B141)</f>
        <v>0</v>
      </c>
      <c r="Z141" s="491" t="str">
        <f>VLOOKUP(Y141,Treatments!$C$7:$J$407,2)</f>
        <v>No treatment</v>
      </c>
      <c r="AA141" s="495">
        <f>D141</f>
        <v>0</v>
      </c>
      <c r="AB141" s="433">
        <f>VLOOKUP(Y141,Treatments!$C$7:$J$407,8)</f>
        <v>0</v>
      </c>
      <c r="AC141" s="495">
        <f>F141</f>
        <v>0</v>
      </c>
      <c r="AD141" s="496">
        <f t="shared" ref="AD141:AD147" si="86">G141</f>
        <v>0</v>
      </c>
      <c r="AE141" s="433">
        <f t="shared" ref="AE141:AE147" si="87">AA141*AB141*AC141*AD141</f>
        <v>0</v>
      </c>
      <c r="AF141" s="411">
        <f t="shared" ref="AF141:AF147" si="88">AE141*$D$9</f>
        <v>0</v>
      </c>
      <c r="AI141" s="1"/>
      <c r="AK141" s="1"/>
      <c r="AL141" s="1"/>
      <c r="AM141" s="1"/>
      <c r="AN141" s="1"/>
      <c r="AO141" s="12" t="s">
        <v>794</v>
      </c>
      <c r="AP141" s="510">
        <f>S141</f>
        <v>0</v>
      </c>
      <c r="AQ141" s="510">
        <f>AP141*$D$9</f>
        <v>0</v>
      </c>
      <c r="AR141" s="1"/>
    </row>
    <row r="142" spans="2:44" ht="15.75" x14ac:dyDescent="0.25">
      <c r="B142" s="305">
        <v>344</v>
      </c>
      <c r="C142" s="491" t="str">
        <f>IF(B142&lt;=0,"",VLOOKUP(B142,Treatments!$C$7:$J$407,2))</f>
        <v>Linkage spray rig</v>
      </c>
      <c r="D142" s="306">
        <v>1</v>
      </c>
      <c r="E142" s="433">
        <f>VLOOKUP(B142,Treatments!$C$7:$J$407,8)</f>
        <v>3.3779411764705882</v>
      </c>
      <c r="F142" s="305">
        <v>1</v>
      </c>
      <c r="G142" s="308">
        <v>1</v>
      </c>
      <c r="H142" s="433">
        <f t="shared" si="84"/>
        <v>3.3779411764705882</v>
      </c>
      <c r="I142" s="411">
        <f t="shared" ref="I142:I147" si="89">H142*$D$9</f>
        <v>304.01470588235293</v>
      </c>
      <c r="L142" s="1"/>
      <c r="M142" s="1"/>
      <c r="N142" s="1"/>
      <c r="O142" s="1"/>
      <c r="P142" s="1"/>
      <c r="Q142" s="12" t="s">
        <v>585</v>
      </c>
      <c r="R142" s="514">
        <v>0.05</v>
      </c>
      <c r="S142" s="510">
        <f>S141+S140+S138</f>
        <v>0</v>
      </c>
      <c r="T142" s="510">
        <f>T141+T140+T138</f>
        <v>0</v>
      </c>
      <c r="U142" s="1"/>
      <c r="Y142" s="447">
        <f t="shared" si="85"/>
        <v>359</v>
      </c>
      <c r="Z142" s="491" t="str">
        <f>VLOOKUP(Y142,Treatments!$C$7:$J$407,2)</f>
        <v>Linkage spray rig</v>
      </c>
      <c r="AA142" s="495">
        <f t="shared" ref="AA142:AA147" si="90">D142</f>
        <v>1</v>
      </c>
      <c r="AB142" s="433">
        <f>VLOOKUP(Y142,Treatments!$C$7:$J$407,8)</f>
        <v>8.01</v>
      </c>
      <c r="AC142" s="495">
        <f t="shared" ref="AC142:AC147" si="91">F142</f>
        <v>1</v>
      </c>
      <c r="AD142" s="496">
        <f t="shared" si="86"/>
        <v>1</v>
      </c>
      <c r="AE142" s="433">
        <f t="shared" si="87"/>
        <v>8.01</v>
      </c>
      <c r="AF142" s="411">
        <f t="shared" si="88"/>
        <v>720.9</v>
      </c>
      <c r="AI142" s="1"/>
      <c r="AJ142" s="1"/>
      <c r="AK142" s="1"/>
      <c r="AL142" s="1"/>
      <c r="AM142" s="1"/>
      <c r="AN142" s="12" t="s">
        <v>585</v>
      </c>
      <c r="AO142" s="496">
        <f>R142</f>
        <v>0.05</v>
      </c>
      <c r="AP142" s="510">
        <f>AP141+AP140+AP138</f>
        <v>0</v>
      </c>
      <c r="AQ142" s="510">
        <f>AQ141+AQ140+AQ138</f>
        <v>0</v>
      </c>
      <c r="AR142" s="1"/>
    </row>
    <row r="143" spans="2:44" ht="15.75" x14ac:dyDescent="0.25">
      <c r="B143" s="305">
        <v>158</v>
      </c>
      <c r="C143" s="491" t="str">
        <f>IF(B143&lt;=0,"",VLOOKUP(B143,Treatments!$C$7:$J$407,2))</f>
        <v>MCPA LVE</v>
      </c>
      <c r="D143" s="306">
        <v>1</v>
      </c>
      <c r="E143" s="433">
        <f>VLOOKUP(B143,Treatments!$C$7:$J$407,8)</f>
        <v>10.75</v>
      </c>
      <c r="F143" s="305">
        <v>1</v>
      </c>
      <c r="G143" s="308">
        <v>1</v>
      </c>
      <c r="H143" s="433">
        <f t="shared" si="84"/>
        <v>10.75</v>
      </c>
      <c r="I143" s="411">
        <f t="shared" si="89"/>
        <v>967.5</v>
      </c>
      <c r="L143" s="1"/>
      <c r="N143" s="1"/>
      <c r="O143" s="17" t="s">
        <v>586</v>
      </c>
      <c r="P143" s="12" t="s">
        <v>587</v>
      </c>
      <c r="Q143" s="420">
        <v>30</v>
      </c>
      <c r="R143" s="1" t="s">
        <v>588</v>
      </c>
      <c r="S143" s="511">
        <f>PMT(R142,Q143,S142)*-1</f>
        <v>0</v>
      </c>
      <c r="T143" s="1" t="s">
        <v>589</v>
      </c>
      <c r="U143" s="1"/>
      <c r="Y143" s="447">
        <f t="shared" si="85"/>
        <v>158</v>
      </c>
      <c r="Z143" s="491" t="str">
        <f>VLOOKUP(Y143,Treatments!$C$7:$J$407,2)</f>
        <v>MCPA LVE</v>
      </c>
      <c r="AA143" s="495">
        <f t="shared" si="90"/>
        <v>1</v>
      </c>
      <c r="AB143" s="433">
        <f>VLOOKUP(Y143,Treatments!$C$7:$J$407,8)</f>
        <v>10.75</v>
      </c>
      <c r="AC143" s="495">
        <f t="shared" si="91"/>
        <v>1</v>
      </c>
      <c r="AD143" s="496">
        <f t="shared" si="86"/>
        <v>1</v>
      </c>
      <c r="AE143" s="433">
        <f t="shared" si="87"/>
        <v>10.75</v>
      </c>
      <c r="AF143" s="411">
        <f t="shared" si="88"/>
        <v>967.5</v>
      </c>
      <c r="AI143" s="1"/>
      <c r="AK143" s="1"/>
      <c r="AL143" s="17" t="s">
        <v>586</v>
      </c>
      <c r="AM143" s="12" t="s">
        <v>587</v>
      </c>
      <c r="AN143" s="447">
        <f>Q143</f>
        <v>30</v>
      </c>
      <c r="AO143" s="1" t="s">
        <v>588</v>
      </c>
      <c r="AP143" s="511">
        <f>PMT(AO142,AN143,AP142)*-1</f>
        <v>0</v>
      </c>
      <c r="AQ143" s="1" t="s">
        <v>589</v>
      </c>
      <c r="AR143" s="1"/>
    </row>
    <row r="144" spans="2:44" ht="15.75" x14ac:dyDescent="0.25">
      <c r="B144" s="305"/>
      <c r="C144" s="491" t="str">
        <f>IF(B144&lt;=0,"",VLOOKUP(B144,Treatments!$C$7:$J$407,2))</f>
        <v/>
      </c>
      <c r="D144" s="306"/>
      <c r="E144" s="433">
        <f>VLOOKUP(B144,Treatments!$C$7:$J$407,8)</f>
        <v>0</v>
      </c>
      <c r="F144" s="305"/>
      <c r="G144" s="493"/>
      <c r="H144" s="433">
        <f t="shared" si="84"/>
        <v>0</v>
      </c>
      <c r="I144" s="411">
        <f t="shared" si="89"/>
        <v>0</v>
      </c>
      <c r="L144" s="1"/>
      <c r="N144" s="1"/>
      <c r="T144" s="1"/>
      <c r="U144" s="1"/>
      <c r="Y144" s="447">
        <f t="shared" si="85"/>
        <v>0</v>
      </c>
      <c r="Z144" s="491" t="str">
        <f>VLOOKUP(Y144,Treatments!$C$7:$J$407,2)</f>
        <v>No treatment</v>
      </c>
      <c r="AA144" s="495">
        <f t="shared" si="90"/>
        <v>0</v>
      </c>
      <c r="AB144" s="433">
        <f>VLOOKUP(Y144,Treatments!$C$7:$J$407,8)</f>
        <v>0</v>
      </c>
      <c r="AC144" s="495">
        <f t="shared" si="91"/>
        <v>0</v>
      </c>
      <c r="AD144" s="496">
        <f t="shared" si="86"/>
        <v>0</v>
      </c>
      <c r="AE144" s="433">
        <f t="shared" si="87"/>
        <v>0</v>
      </c>
      <c r="AF144" s="411">
        <f t="shared" si="88"/>
        <v>0</v>
      </c>
      <c r="AI144" s="1"/>
      <c r="AJ144" s="1"/>
      <c r="AK144" s="1"/>
      <c r="AL144" s="1"/>
      <c r="AM144" s="1"/>
      <c r="AN144" s="1"/>
      <c r="AO144" s="1"/>
      <c r="AP144" s="1"/>
      <c r="AQ144" s="1"/>
      <c r="AR144" s="1"/>
    </row>
    <row r="145" spans="2:44" ht="15.75" x14ac:dyDescent="0.25">
      <c r="B145" s="305"/>
      <c r="C145" s="491" t="str">
        <f>IF(B145&lt;=0,"",VLOOKUP(B145,Treatments!$C$7:$J$407,2))</f>
        <v/>
      </c>
      <c r="D145" s="306"/>
      <c r="E145" s="433">
        <f>VLOOKUP(B145,Treatments!$C$7:$J$407,8)</f>
        <v>0</v>
      </c>
      <c r="F145" s="305"/>
      <c r="G145" s="493"/>
      <c r="H145" s="433">
        <f t="shared" si="84"/>
        <v>0</v>
      </c>
      <c r="I145" s="411">
        <f t="shared" si="89"/>
        <v>0</v>
      </c>
      <c r="L145" s="1"/>
      <c r="M145" s="1"/>
      <c r="N145" s="1"/>
      <c r="O145" s="1"/>
      <c r="P145" s="1"/>
      <c r="Q145" s="1"/>
      <c r="R145" s="1"/>
      <c r="S145" s="1"/>
      <c r="T145" s="1"/>
      <c r="U145" s="1"/>
      <c r="Y145" s="447">
        <f t="shared" si="85"/>
        <v>0</v>
      </c>
      <c r="Z145" s="491" t="str">
        <f>VLOOKUP(Y145,Treatments!$C$7:$J$407,2)</f>
        <v>No treatment</v>
      </c>
      <c r="AA145" s="495">
        <f t="shared" si="90"/>
        <v>0</v>
      </c>
      <c r="AB145" s="433">
        <f>VLOOKUP(Y145,Treatments!$C$7:$J$407,8)</f>
        <v>0</v>
      </c>
      <c r="AC145" s="495">
        <f t="shared" si="91"/>
        <v>0</v>
      </c>
      <c r="AD145" s="496">
        <f t="shared" si="86"/>
        <v>0</v>
      </c>
      <c r="AE145" s="433">
        <f t="shared" si="87"/>
        <v>0</v>
      </c>
      <c r="AF145" s="411">
        <f t="shared" si="88"/>
        <v>0</v>
      </c>
      <c r="AI145" s="1"/>
      <c r="AJ145" s="1"/>
      <c r="AK145" s="1"/>
      <c r="AL145" s="1"/>
      <c r="AM145" s="1"/>
      <c r="AN145" s="1"/>
      <c r="AO145" s="1"/>
      <c r="AP145" s="1"/>
      <c r="AQ145" s="1"/>
      <c r="AR145" s="1"/>
    </row>
    <row r="146" spans="2:44" ht="15.75" x14ac:dyDescent="0.25">
      <c r="B146" s="305"/>
      <c r="C146" s="491" t="str">
        <f>IF(B146&lt;=0,"",VLOOKUP(B146,Treatments!$C$7:$J$407,2))</f>
        <v/>
      </c>
      <c r="D146" s="306"/>
      <c r="E146" s="433">
        <f>VLOOKUP(B146,Treatments!$C$7:$J$407,8)</f>
        <v>0</v>
      </c>
      <c r="F146" s="305"/>
      <c r="G146" s="493"/>
      <c r="H146" s="433">
        <f t="shared" si="84"/>
        <v>0</v>
      </c>
      <c r="I146" s="411">
        <f t="shared" si="89"/>
        <v>0</v>
      </c>
      <c r="L146" s="1"/>
      <c r="M146" s="1"/>
      <c r="N146" s="1"/>
      <c r="O146" s="1"/>
      <c r="P146" s="1"/>
      <c r="Q146" s="1"/>
      <c r="R146" s="1"/>
      <c r="S146" s="1"/>
      <c r="T146" s="1"/>
      <c r="U146" s="1"/>
      <c r="Y146" s="447">
        <f t="shared" si="85"/>
        <v>0</v>
      </c>
      <c r="Z146" s="491" t="str">
        <f>VLOOKUP(Y146,Treatments!$C$7:$J$407,2)</f>
        <v>No treatment</v>
      </c>
      <c r="AA146" s="495">
        <f t="shared" si="90"/>
        <v>0</v>
      </c>
      <c r="AB146" s="433">
        <f>VLOOKUP(Y146,Treatments!$C$7:$J$407,8)</f>
        <v>0</v>
      </c>
      <c r="AC146" s="495">
        <f t="shared" si="91"/>
        <v>0</v>
      </c>
      <c r="AD146" s="496">
        <f t="shared" si="86"/>
        <v>0</v>
      </c>
      <c r="AE146" s="433">
        <f t="shared" si="87"/>
        <v>0</v>
      </c>
      <c r="AF146" s="411">
        <f t="shared" si="88"/>
        <v>0</v>
      </c>
      <c r="AI146" s="1"/>
      <c r="AJ146" s="1"/>
      <c r="AK146" s="1"/>
      <c r="AL146" s="1"/>
      <c r="AM146" s="1"/>
      <c r="AN146" s="1"/>
      <c r="AO146" s="1"/>
      <c r="AP146" s="1"/>
      <c r="AQ146" s="1"/>
      <c r="AR146" s="1"/>
    </row>
    <row r="147" spans="2:44" ht="15.75" x14ac:dyDescent="0.25">
      <c r="B147" s="1"/>
      <c r="C147" s="1" t="s">
        <v>586</v>
      </c>
      <c r="D147" s="492"/>
      <c r="E147" s="433">
        <f>S143</f>
        <v>0</v>
      </c>
      <c r="F147" s="305"/>
      <c r="G147" s="493"/>
      <c r="H147" s="433">
        <f t="shared" si="84"/>
        <v>0</v>
      </c>
      <c r="I147" s="411">
        <f t="shared" si="89"/>
        <v>0</v>
      </c>
      <c r="L147" s="1"/>
      <c r="M147" s="1"/>
      <c r="N147" s="1"/>
      <c r="O147" s="1"/>
      <c r="P147" s="1"/>
      <c r="Q147" s="1"/>
      <c r="R147" s="1"/>
      <c r="S147" s="1"/>
      <c r="T147" s="1"/>
      <c r="U147" s="1"/>
      <c r="Y147" s="1"/>
      <c r="Z147" s="1" t="s">
        <v>586</v>
      </c>
      <c r="AA147" s="495">
        <f t="shared" si="90"/>
        <v>0</v>
      </c>
      <c r="AB147" s="433">
        <f>AP143</f>
        <v>0</v>
      </c>
      <c r="AC147" s="495">
        <f t="shared" si="91"/>
        <v>0</v>
      </c>
      <c r="AD147" s="496">
        <f t="shared" si="86"/>
        <v>0</v>
      </c>
      <c r="AE147" s="433">
        <f t="shared" si="87"/>
        <v>0</v>
      </c>
      <c r="AF147" s="411">
        <f t="shared" si="88"/>
        <v>0</v>
      </c>
      <c r="AI147" s="1"/>
      <c r="AJ147" s="1"/>
      <c r="AK147" s="1"/>
      <c r="AL147" s="1"/>
      <c r="AM147" s="1"/>
      <c r="AN147" s="1"/>
      <c r="AO147" s="1"/>
      <c r="AP147" s="1"/>
      <c r="AQ147" s="1"/>
      <c r="AR147" s="1"/>
    </row>
    <row r="148" spans="2:44" ht="15.75" x14ac:dyDescent="0.25">
      <c r="B148" s="515"/>
      <c r="C148" s="515"/>
      <c r="D148" s="515"/>
      <c r="E148" s="516"/>
      <c r="F148" s="517" t="s">
        <v>796</v>
      </c>
      <c r="G148" s="515"/>
      <c r="H148" s="510">
        <f>SUM(H110:H147)</f>
        <v>177.83896638655466</v>
      </c>
      <c r="I148" s="510">
        <f>SUM(I110:I147)</f>
        <v>16005.506974789916</v>
      </c>
      <c r="L148" s="1" t="s">
        <v>791</v>
      </c>
      <c r="M148" s="1"/>
      <c r="N148" s="1"/>
      <c r="O148" s="1"/>
      <c r="P148" s="1"/>
      <c r="Q148" s="1"/>
      <c r="R148" s="1"/>
      <c r="S148" s="1"/>
      <c r="T148" s="1"/>
      <c r="U148" s="1"/>
      <c r="Y148" s="515"/>
      <c r="Z148" s="515"/>
      <c r="AA148" s="518"/>
      <c r="AB148" s="516"/>
      <c r="AC148" s="518" t="s">
        <v>796</v>
      </c>
      <c r="AD148" s="518"/>
      <c r="AE148" s="510">
        <f>SUM(AE110:AE147)</f>
        <v>276.37585714285717</v>
      </c>
      <c r="AF148" s="510">
        <f>SUM(AF110:AF147)</f>
        <v>24873.827142857146</v>
      </c>
      <c r="AI148" s="1"/>
      <c r="AJ148" s="1"/>
      <c r="AK148" s="1"/>
      <c r="AL148" s="1"/>
      <c r="AM148" s="1"/>
      <c r="AN148" s="1"/>
      <c r="AO148" s="1"/>
      <c r="AP148" s="1"/>
      <c r="AQ148" s="1"/>
      <c r="AR148" s="1"/>
    </row>
    <row r="149" spans="2:44" x14ac:dyDescent="0.2">
      <c r="B149" s="515"/>
      <c r="D149" s="515"/>
      <c r="E149" s="516"/>
      <c r="F149" s="515"/>
      <c r="G149" s="515"/>
      <c r="H149" s="515"/>
      <c r="L149" s="1" t="s">
        <v>790</v>
      </c>
      <c r="M149" s="1"/>
      <c r="N149" s="1"/>
      <c r="O149" s="1"/>
      <c r="P149" s="1"/>
      <c r="Q149" s="1"/>
      <c r="R149" s="1"/>
      <c r="S149" s="1"/>
      <c r="T149" s="1"/>
      <c r="U149" s="1"/>
    </row>
    <row r="150" spans="2:44" x14ac:dyDescent="0.2">
      <c r="D150" s="515"/>
      <c r="E150" s="516"/>
      <c r="F150" s="515"/>
      <c r="G150" s="515"/>
      <c r="H150" s="515"/>
      <c r="L150" s="1"/>
      <c r="M150" s="1"/>
      <c r="N150" s="1"/>
      <c r="O150" s="1"/>
      <c r="P150" s="1"/>
      <c r="Q150" s="1"/>
      <c r="R150" s="1"/>
      <c r="S150" s="1"/>
      <c r="T150" s="1"/>
      <c r="U150" s="1"/>
    </row>
    <row r="151" spans="2:44" x14ac:dyDescent="0.2">
      <c r="B151"/>
      <c r="C151"/>
      <c r="D151"/>
      <c r="E151" s="516"/>
      <c r="F151" s="515"/>
      <c r="G151" s="515"/>
      <c r="H151" s="515"/>
      <c r="L151" s="1" t="s">
        <v>394</v>
      </c>
      <c r="M151" s="1"/>
      <c r="N151" s="1"/>
      <c r="O151" s="1"/>
      <c r="P151" s="1"/>
      <c r="Q151" s="1"/>
      <c r="R151" s="1"/>
      <c r="S151" s="1"/>
      <c r="T151" s="1"/>
      <c r="U151" s="1"/>
    </row>
    <row r="152" spans="2:44" x14ac:dyDescent="0.2">
      <c r="H152" s="515"/>
      <c r="L152" s="1"/>
      <c r="M152" s="1"/>
      <c r="N152" s="1"/>
      <c r="O152" s="1"/>
      <c r="P152" s="1"/>
      <c r="Q152" s="1"/>
      <c r="R152" s="1"/>
      <c r="S152" s="1"/>
      <c r="T152" s="1"/>
      <c r="U152" s="1"/>
    </row>
    <row r="153" spans="2:44" ht="15.75" x14ac:dyDescent="0.25">
      <c r="B153" s="551" t="s">
        <v>897</v>
      </c>
      <c r="C153" s="552"/>
      <c r="G153" s="551" t="s">
        <v>897</v>
      </c>
      <c r="H153" s="552"/>
      <c r="L153" s="1" t="s">
        <v>793</v>
      </c>
      <c r="M153" s="1"/>
      <c r="N153" s="1"/>
      <c r="O153" s="1"/>
      <c r="P153" s="1"/>
      <c r="Q153" s="1"/>
      <c r="R153" s="1"/>
      <c r="S153" s="1"/>
      <c r="T153" s="1"/>
      <c r="U153" s="1"/>
    </row>
    <row r="154" spans="2:44" ht="15.75" x14ac:dyDescent="0.25">
      <c r="B154" s="553" t="s">
        <v>400</v>
      </c>
      <c r="C154" s="555"/>
      <c r="D154" s="554" t="s">
        <v>993</v>
      </c>
      <c r="E154" s="554" t="s">
        <v>904</v>
      </c>
      <c r="G154" s="553" t="s">
        <v>393</v>
      </c>
      <c r="H154" s="555"/>
      <c r="I154" s="554" t="s">
        <v>993</v>
      </c>
      <c r="J154" s="554" t="s">
        <v>904</v>
      </c>
      <c r="L154" s="1" t="s">
        <v>798</v>
      </c>
      <c r="M154" s="1"/>
      <c r="N154" s="1"/>
      <c r="O154" s="1"/>
      <c r="P154" s="1"/>
      <c r="Q154" s="1"/>
      <c r="R154" s="1"/>
      <c r="S154" s="1"/>
      <c r="T154" s="1"/>
    </row>
    <row r="155" spans="2:44" ht="15.75" x14ac:dyDescent="0.25">
      <c r="B155" s="454" t="s">
        <v>898</v>
      </c>
      <c r="C155" s="519"/>
      <c r="D155" s="455">
        <f>L60</f>
        <v>197158.7072</v>
      </c>
      <c r="E155" s="455">
        <f>D155/$D$8</f>
        <v>1971.587072</v>
      </c>
      <c r="F155" s="515"/>
      <c r="G155" s="456" t="s">
        <v>898</v>
      </c>
      <c r="H155" s="456"/>
      <c r="I155" s="457">
        <f t="shared" ref="I155:J160" si="92">D155</f>
        <v>197158.7072</v>
      </c>
      <c r="J155" s="457">
        <f t="shared" si="92"/>
        <v>1971.587072</v>
      </c>
      <c r="L155" s="1" t="s">
        <v>799</v>
      </c>
      <c r="M155" s="1"/>
      <c r="N155" s="1"/>
      <c r="O155" s="1"/>
      <c r="P155" s="1"/>
      <c r="Q155" s="1"/>
      <c r="R155" s="1"/>
      <c r="S155" s="1"/>
      <c r="T155" s="1"/>
    </row>
    <row r="156" spans="2:44" ht="15.75" x14ac:dyDescent="0.25">
      <c r="B156" s="458" t="s">
        <v>797</v>
      </c>
      <c r="C156" s="459"/>
      <c r="D156" s="460">
        <f>H22</f>
        <v>158085.76000000001</v>
      </c>
      <c r="E156" s="460">
        <f t="shared" ref="E156:E162" si="93">D156/$D$8</f>
        <v>1580.8576</v>
      </c>
      <c r="F156" s="515"/>
      <c r="G156" s="458" t="s">
        <v>797</v>
      </c>
      <c r="H156" s="458"/>
      <c r="I156" s="460">
        <f t="shared" si="92"/>
        <v>158085.76000000001</v>
      </c>
      <c r="J156" s="461">
        <f t="shared" si="92"/>
        <v>1580.8576</v>
      </c>
      <c r="L156" s="520"/>
    </row>
    <row r="157" spans="2:44" ht="15.75" x14ac:dyDescent="0.25">
      <c r="B157" s="462" t="s">
        <v>399</v>
      </c>
      <c r="C157" s="463"/>
      <c r="D157" s="464">
        <f>H35+J35+L35</f>
        <v>3578.8969999999995</v>
      </c>
      <c r="E157" s="464">
        <f t="shared" si="93"/>
        <v>35.788969999999992</v>
      </c>
      <c r="F157" s="515"/>
      <c r="G157" s="462" t="s">
        <v>899</v>
      </c>
      <c r="H157" s="462"/>
      <c r="I157" s="465">
        <f t="shared" si="92"/>
        <v>3578.8969999999995</v>
      </c>
      <c r="J157" s="466">
        <f t="shared" si="92"/>
        <v>35.788969999999992</v>
      </c>
      <c r="M157" s="520"/>
    </row>
    <row r="158" spans="2:44" ht="15.75" x14ac:dyDescent="0.25">
      <c r="B158" s="467" t="s">
        <v>880</v>
      </c>
      <c r="C158" s="463"/>
      <c r="D158" s="464">
        <f>L75</f>
        <v>7951.0059999999994</v>
      </c>
      <c r="E158" s="464">
        <f t="shared" si="93"/>
        <v>79.510059999999996</v>
      </c>
      <c r="F158" s="515"/>
      <c r="G158" s="467" t="s">
        <v>880</v>
      </c>
      <c r="H158" s="467"/>
      <c r="I158" s="465">
        <f t="shared" si="92"/>
        <v>7951.0059999999994</v>
      </c>
      <c r="J158" s="466">
        <f t="shared" si="92"/>
        <v>79.510059999999996</v>
      </c>
    </row>
    <row r="159" spans="2:44" ht="15.75" x14ac:dyDescent="0.25">
      <c r="B159" s="467" t="s">
        <v>881</v>
      </c>
      <c r="C159" s="463"/>
      <c r="D159" s="464">
        <f>M47</f>
        <v>75.544000000000011</v>
      </c>
      <c r="E159" s="464">
        <f t="shared" si="93"/>
        <v>0.75544000000000011</v>
      </c>
      <c r="G159" s="467" t="s">
        <v>881</v>
      </c>
      <c r="H159" s="467"/>
      <c r="I159" s="465">
        <f t="shared" si="92"/>
        <v>75.544000000000011</v>
      </c>
      <c r="J159" s="466">
        <f t="shared" si="92"/>
        <v>0.75544000000000011</v>
      </c>
    </row>
    <row r="160" spans="2:44" ht="15.75" x14ac:dyDescent="0.25">
      <c r="B160" s="467" t="s">
        <v>872</v>
      </c>
      <c r="C160" s="463"/>
      <c r="D160" s="464">
        <f>D75+H75</f>
        <v>994</v>
      </c>
      <c r="E160" s="464">
        <f t="shared" si="93"/>
        <v>9.94</v>
      </c>
      <c r="F160" s="515"/>
      <c r="G160" s="467" t="s">
        <v>872</v>
      </c>
      <c r="H160" s="467"/>
      <c r="I160" s="465">
        <f t="shared" si="92"/>
        <v>994</v>
      </c>
      <c r="J160" s="466">
        <f t="shared" si="92"/>
        <v>9.94</v>
      </c>
    </row>
    <row r="161" spans="2:13" ht="15.75" x14ac:dyDescent="0.25">
      <c r="B161" s="468" t="s">
        <v>755</v>
      </c>
      <c r="C161" s="469"/>
      <c r="D161" s="470">
        <f>I148</f>
        <v>16005.506974789916</v>
      </c>
      <c r="E161" s="470">
        <f t="shared" si="93"/>
        <v>160.05506974789915</v>
      </c>
      <c r="F161" s="515"/>
      <c r="G161" s="468" t="s">
        <v>754</v>
      </c>
      <c r="H161" s="468"/>
      <c r="I161" s="465">
        <f>AF148</f>
        <v>24873.827142857146</v>
      </c>
      <c r="J161" s="466">
        <f>I161/$D$8</f>
        <v>248.73827142857147</v>
      </c>
    </row>
    <row r="162" spans="2:13" ht="15.75" x14ac:dyDescent="0.25">
      <c r="B162" s="471" t="s">
        <v>900</v>
      </c>
      <c r="C162" s="521"/>
      <c r="D162" s="472">
        <f>SUM(D156:D161)</f>
        <v>186690.71397478992</v>
      </c>
      <c r="E162" s="472">
        <f t="shared" si="93"/>
        <v>1866.9071397478992</v>
      </c>
      <c r="F162" s="515"/>
      <c r="G162" s="471" t="s">
        <v>900</v>
      </c>
      <c r="H162" s="471"/>
      <c r="I162" s="472">
        <f>SUM(I156:I161)</f>
        <v>195559.03414285713</v>
      </c>
      <c r="J162" s="472">
        <f>I162/D8</f>
        <v>1955.5903414285713</v>
      </c>
    </row>
    <row r="163" spans="2:13" x14ac:dyDescent="0.2">
      <c r="B163" s="427"/>
      <c r="C163" s="427"/>
      <c r="D163" s="427"/>
      <c r="E163" s="427"/>
      <c r="G163" s="427"/>
      <c r="H163" s="427"/>
      <c r="I163" s="427"/>
      <c r="J163" s="427"/>
    </row>
    <row r="164" spans="2:13" ht="15.75" x14ac:dyDescent="0.25">
      <c r="B164" s="473" t="s">
        <v>901</v>
      </c>
      <c r="C164" s="522"/>
      <c r="D164" s="474">
        <f>D155-D162</f>
        <v>10467.993225210084</v>
      </c>
      <c r="E164" s="474">
        <f>D164/D8</f>
        <v>104.67993225210084</v>
      </c>
      <c r="G164" s="473" t="s">
        <v>901</v>
      </c>
      <c r="H164" s="473"/>
      <c r="I164" s="474">
        <f>I155-I162</f>
        <v>1599.673057142878</v>
      </c>
      <c r="J164" s="474">
        <f>I164/$D$8</f>
        <v>15.996730571428779</v>
      </c>
      <c r="K164" s="523"/>
    </row>
    <row r="165" spans="2:13" ht="15.75" x14ac:dyDescent="0.25">
      <c r="B165" s="473" t="s">
        <v>737</v>
      </c>
      <c r="C165" s="475"/>
      <c r="D165" s="474">
        <f>H88</f>
        <v>1949.0025205479453</v>
      </c>
      <c r="E165" s="474">
        <f>D165/D8</f>
        <v>19.490025205479455</v>
      </c>
      <c r="F165" s="515"/>
      <c r="G165" s="473" t="s">
        <v>737</v>
      </c>
      <c r="H165" s="475"/>
      <c r="I165" s="474">
        <f>H88</f>
        <v>1949.0025205479453</v>
      </c>
      <c r="J165" s="515"/>
    </row>
    <row r="166" spans="2:13" ht="15.75" x14ac:dyDescent="0.25">
      <c r="B166" s="473" t="s">
        <v>675</v>
      </c>
      <c r="C166" s="522"/>
      <c r="D166" s="474">
        <f>D164-D165</f>
        <v>8518.9907046621393</v>
      </c>
      <c r="E166" s="474">
        <f>D166/$D$8</f>
        <v>85.189907046621386</v>
      </c>
      <c r="F166" s="515"/>
      <c r="G166" s="473" t="s">
        <v>902</v>
      </c>
      <c r="H166" s="473"/>
      <c r="I166" s="474">
        <f>I164-I165</f>
        <v>-349.32946340506737</v>
      </c>
      <c r="J166" s="474">
        <f>I166/$D$8</f>
        <v>-3.4932946340506739</v>
      </c>
    </row>
    <row r="167" spans="2:13" ht="15.75" x14ac:dyDescent="0.25">
      <c r="B167" s="473" t="s">
        <v>739</v>
      </c>
      <c r="C167" s="522"/>
      <c r="D167" s="522"/>
      <c r="E167" s="476">
        <f>(E60-F22)/$D$8</f>
        <v>196.81199999999998</v>
      </c>
      <c r="F167" s="515"/>
      <c r="J167" s="515"/>
    </row>
    <row r="168" spans="2:13" x14ac:dyDescent="0.2">
      <c r="F168" s="515"/>
      <c r="J168" s="524"/>
    </row>
    <row r="169" spans="2:13" x14ac:dyDescent="0.2">
      <c r="F169" s="515"/>
      <c r="I169" s="515"/>
      <c r="J169" s="515"/>
    </row>
    <row r="170" spans="2:13" x14ac:dyDescent="0.2">
      <c r="B170" s="1"/>
      <c r="C170" s="1"/>
      <c r="D170" s="1"/>
      <c r="E170" s="524"/>
      <c r="F170" s="515"/>
      <c r="G170" s="1"/>
      <c r="H170" s="1"/>
      <c r="I170" s="1"/>
      <c r="J170" s="524"/>
    </row>
    <row r="171" spans="2:13" x14ac:dyDescent="0.2">
      <c r="G171" s="1"/>
      <c r="H171" s="1"/>
      <c r="I171" s="1"/>
      <c r="J171" s="515"/>
    </row>
    <row r="172" spans="2:13" ht="15.75" thickBot="1" x14ac:dyDescent="0.25">
      <c r="B172" s="1"/>
      <c r="C172" s="1"/>
      <c r="D172" s="1"/>
      <c r="E172" s="524"/>
      <c r="G172" s="1"/>
      <c r="H172" s="1"/>
      <c r="I172" s="1"/>
      <c r="J172" s="524"/>
    </row>
    <row r="173" spans="2:13" ht="16.5" thickBot="1" x14ac:dyDescent="0.3">
      <c r="B173" s="1"/>
      <c r="C173" s="525" t="s">
        <v>667</v>
      </c>
      <c r="D173" s="526" t="s">
        <v>668</v>
      </c>
      <c r="E173" s="1"/>
      <c r="G173" s="527"/>
      <c r="H173" s="528" t="s">
        <v>760</v>
      </c>
      <c r="I173" s="529"/>
      <c r="J173" s="530"/>
      <c r="K173" s="528" t="s">
        <v>761</v>
      </c>
      <c r="L173" s="529"/>
      <c r="M173" s="530"/>
    </row>
    <row r="174" spans="2:13" ht="15.75" x14ac:dyDescent="0.2">
      <c r="B174" s="1"/>
      <c r="C174" s="74" t="s">
        <v>661</v>
      </c>
      <c r="D174" s="495">
        <f>H100</f>
        <v>56.710579613642714</v>
      </c>
      <c r="E174" s="1"/>
      <c r="G174" s="531"/>
      <c r="H174" s="532" t="s">
        <v>762</v>
      </c>
      <c r="I174" s="532" t="s">
        <v>763</v>
      </c>
      <c r="J174" s="532" t="s">
        <v>764</v>
      </c>
      <c r="K174" s="532" t="s">
        <v>765</v>
      </c>
      <c r="L174" s="532" t="s">
        <v>766</v>
      </c>
      <c r="M174" s="532" t="s">
        <v>767</v>
      </c>
    </row>
    <row r="175" spans="2:13" ht="16.5" thickBot="1" x14ac:dyDescent="0.25">
      <c r="C175" s="74" t="s">
        <v>669</v>
      </c>
      <c r="D175" s="435">
        <v>3650</v>
      </c>
      <c r="E175" s="1" t="s">
        <v>803</v>
      </c>
      <c r="G175" s="533" t="s">
        <v>768</v>
      </c>
      <c r="H175" s="534">
        <v>1000</v>
      </c>
      <c r="I175" s="534">
        <v>1000</v>
      </c>
      <c r="J175" s="534">
        <v>1000</v>
      </c>
      <c r="K175" s="534">
        <v>1000</v>
      </c>
      <c r="L175" s="534">
        <v>1000</v>
      </c>
      <c r="M175" s="534">
        <v>1000</v>
      </c>
    </row>
    <row r="176" spans="2:13" ht="16.5" thickBot="1" x14ac:dyDescent="0.25">
      <c r="C176" s="74" t="s">
        <v>670</v>
      </c>
      <c r="D176" s="409">
        <f>D175*D174</f>
        <v>206993.6155897959</v>
      </c>
      <c r="E176" s="1" t="s">
        <v>666</v>
      </c>
      <c r="G176" s="535" t="s">
        <v>769</v>
      </c>
      <c r="H176" s="536">
        <v>0.4</v>
      </c>
      <c r="I176" s="537">
        <v>0.3</v>
      </c>
      <c r="J176" s="538">
        <v>0.4</v>
      </c>
      <c r="K176" s="539">
        <v>0.3</v>
      </c>
      <c r="L176" s="538">
        <v>0.3</v>
      </c>
      <c r="M176" s="540">
        <v>0.3</v>
      </c>
    </row>
    <row r="177" spans="2:14" x14ac:dyDescent="0.2">
      <c r="B177" s="1"/>
      <c r="C177" s="541" t="s">
        <v>671</v>
      </c>
      <c r="D177" s="452">
        <v>0.4</v>
      </c>
      <c r="E177" s="1"/>
      <c r="G177" s="1"/>
      <c r="H177" s="1"/>
      <c r="I177" s="1"/>
      <c r="J177" s="1"/>
      <c r="K177" s="1"/>
      <c r="L177" s="1"/>
      <c r="M177" s="1"/>
    </row>
    <row r="178" spans="2:14" x14ac:dyDescent="0.2">
      <c r="B178" s="1"/>
      <c r="C178" s="541" t="s">
        <v>662</v>
      </c>
      <c r="D178" s="409">
        <f>D176*1/D177</f>
        <v>517484.03897448973</v>
      </c>
      <c r="E178" s="1" t="s">
        <v>666</v>
      </c>
      <c r="N178" s="1"/>
    </row>
    <row r="179" spans="2:14" x14ac:dyDescent="0.2">
      <c r="B179" s="1"/>
      <c r="C179" s="74" t="s">
        <v>672</v>
      </c>
      <c r="D179" s="409">
        <f>D8</f>
        <v>100</v>
      </c>
      <c r="E179" s="1" t="s">
        <v>1000</v>
      </c>
      <c r="N179" s="1"/>
    </row>
    <row r="180" spans="2:14" x14ac:dyDescent="0.2">
      <c r="B180" s="1"/>
      <c r="C180" s="74" t="s">
        <v>663</v>
      </c>
      <c r="D180" s="409">
        <f>D178/D179</f>
        <v>5174.840389744897</v>
      </c>
      <c r="E180" s="1" t="s">
        <v>802</v>
      </c>
      <c r="N180" s="1"/>
    </row>
    <row r="181" spans="2:14" x14ac:dyDescent="0.2">
      <c r="B181" s="1"/>
      <c r="C181" s="74" t="s">
        <v>664</v>
      </c>
      <c r="D181" s="435">
        <v>1000</v>
      </c>
      <c r="E181" s="1" t="s">
        <v>802</v>
      </c>
      <c r="N181" s="1"/>
    </row>
    <row r="182" spans="2:14" x14ac:dyDescent="0.2">
      <c r="B182" s="1"/>
      <c r="C182" s="74" t="s">
        <v>665</v>
      </c>
      <c r="D182" s="409">
        <f>D181+D180</f>
        <v>6174.840389744897</v>
      </c>
      <c r="E182" s="1" t="s">
        <v>802</v>
      </c>
      <c r="N182" s="1"/>
    </row>
    <row r="183" spans="2:14" x14ac:dyDescent="0.2">
      <c r="B183" s="1"/>
      <c r="C183" s="542"/>
      <c r="D183" s="543"/>
      <c r="E183" s="1"/>
      <c r="N183" s="1"/>
    </row>
    <row r="184" spans="2:14" x14ac:dyDescent="0.2">
      <c r="B184" s="1"/>
      <c r="C184" s="1"/>
      <c r="D184" s="1"/>
      <c r="E184" s="1"/>
      <c r="F184" s="1"/>
      <c r="G184" s="1"/>
      <c r="H184" s="1"/>
      <c r="I184" s="1"/>
      <c r="J184" s="1"/>
      <c r="K184" s="1"/>
      <c r="L184" s="1"/>
      <c r="M184" s="1"/>
      <c r="N184" s="1"/>
    </row>
    <row r="185" spans="2:14" x14ac:dyDescent="0.2">
      <c r="B185" s="1"/>
      <c r="C185" s="1"/>
      <c r="D185" s="1"/>
      <c r="E185" s="1"/>
      <c r="F185" s="1"/>
      <c r="G185" s="1"/>
      <c r="H185" s="1"/>
      <c r="I185" s="1"/>
      <c r="J185" s="1"/>
      <c r="K185" s="1"/>
      <c r="L185" s="1"/>
      <c r="M185" s="1"/>
      <c r="N185" s="1"/>
    </row>
    <row r="186" spans="2:14" x14ac:dyDescent="0.2">
      <c r="B186" s="1"/>
      <c r="C186" s="1"/>
      <c r="D186" s="1"/>
      <c r="E186" s="1"/>
      <c r="F186" s="1"/>
      <c r="G186" s="1"/>
      <c r="H186" s="1"/>
      <c r="I186" s="1"/>
      <c r="J186" s="1"/>
      <c r="K186" s="1"/>
      <c r="L186" s="1"/>
      <c r="M186" s="1"/>
      <c r="N186" s="1"/>
    </row>
    <row r="187" spans="2:14" x14ac:dyDescent="0.2">
      <c r="B187" s="1"/>
      <c r="C187" s="1"/>
      <c r="D187" s="1"/>
      <c r="E187" s="1"/>
      <c r="F187" s="1"/>
      <c r="G187" s="1"/>
      <c r="H187" s="1"/>
      <c r="I187" s="1"/>
      <c r="J187" s="1"/>
      <c r="K187" s="1"/>
      <c r="L187" s="1"/>
      <c r="M187" s="1"/>
      <c r="N187" s="1"/>
    </row>
    <row r="188" spans="2:14" x14ac:dyDescent="0.2">
      <c r="B188" s="1"/>
      <c r="C188" s="1"/>
      <c r="D188" s="1"/>
      <c r="E188" s="1"/>
      <c r="F188" s="1"/>
      <c r="G188" s="1"/>
      <c r="H188" s="1"/>
      <c r="I188" s="1"/>
      <c r="J188" s="1"/>
      <c r="K188" s="1"/>
      <c r="L188" s="1"/>
      <c r="M188" s="1"/>
      <c r="N188" s="1"/>
    </row>
    <row r="189" spans="2:14" x14ac:dyDescent="0.2">
      <c r="B189" s="1"/>
      <c r="C189" s="1"/>
      <c r="D189" s="1"/>
      <c r="E189" s="1"/>
      <c r="F189" s="1"/>
      <c r="G189" s="1"/>
      <c r="H189" s="1"/>
      <c r="I189" s="1"/>
      <c r="J189" s="1"/>
      <c r="K189" s="1"/>
      <c r="L189" s="1"/>
      <c r="M189" s="1"/>
      <c r="N189" s="1"/>
    </row>
    <row r="190" spans="2:14" x14ac:dyDescent="0.2">
      <c r="B190" s="1"/>
      <c r="C190" s="1"/>
      <c r="D190" s="1"/>
      <c r="E190" s="1"/>
      <c r="F190" s="1"/>
      <c r="G190" s="1"/>
      <c r="H190" s="1"/>
      <c r="I190" s="1"/>
      <c r="J190" s="1"/>
      <c r="K190" s="1"/>
      <c r="L190" s="1"/>
      <c r="M190" s="1"/>
      <c r="N190" s="1"/>
    </row>
    <row r="191" spans="2:14" x14ac:dyDescent="0.2">
      <c r="B191" s="1"/>
      <c r="C191" s="1"/>
      <c r="D191" s="1"/>
      <c r="E191" s="1"/>
      <c r="F191" s="1"/>
      <c r="G191" s="1"/>
      <c r="H191" s="1"/>
      <c r="I191" s="1"/>
      <c r="J191" s="1"/>
      <c r="K191" s="1"/>
      <c r="L191" s="1"/>
      <c r="M191" s="1"/>
      <c r="N191" s="1"/>
    </row>
    <row r="192" spans="2:14" x14ac:dyDescent="0.2">
      <c r="B192" s="1"/>
      <c r="C192" s="1"/>
      <c r="D192" s="1"/>
      <c r="E192" s="1"/>
      <c r="F192" s="1"/>
      <c r="G192" s="1"/>
      <c r="H192" s="1"/>
      <c r="I192" s="1"/>
      <c r="J192" s="1"/>
      <c r="K192" s="1"/>
    </row>
    <row r="193" spans="2:11" x14ac:dyDescent="0.2">
      <c r="B193" s="1"/>
      <c r="C193" s="1"/>
      <c r="D193" s="1"/>
      <c r="E193" s="1"/>
      <c r="F193" s="1"/>
      <c r="G193" s="1"/>
      <c r="H193" s="1"/>
      <c r="I193" s="1"/>
      <c r="J193" s="1"/>
      <c r="K193" s="1"/>
    </row>
    <row r="194" spans="2:11" x14ac:dyDescent="0.2">
      <c r="C194" s="1"/>
      <c r="D194" s="1"/>
      <c r="E194" s="1"/>
      <c r="F194" s="1"/>
      <c r="G194" s="1"/>
      <c r="H194" s="1"/>
      <c r="I194" s="1"/>
      <c r="J194" s="1"/>
      <c r="K194" s="1"/>
    </row>
    <row r="195" spans="2:11" x14ac:dyDescent="0.2">
      <c r="E195" s="1"/>
      <c r="F195" s="1"/>
      <c r="G195" s="1"/>
      <c r="H195" s="1"/>
      <c r="I195" s="1"/>
      <c r="J195" s="1"/>
      <c r="K195" s="1"/>
    </row>
    <row r="196" spans="2:11" x14ac:dyDescent="0.2">
      <c r="E196" s="1"/>
      <c r="F196" s="1"/>
      <c r="G196" s="1"/>
      <c r="H196" s="1"/>
      <c r="I196" s="1"/>
      <c r="J196" s="1"/>
      <c r="K196" s="1"/>
    </row>
    <row r="197" spans="2:11" x14ac:dyDescent="0.2">
      <c r="E197" s="1"/>
      <c r="F197" s="1"/>
      <c r="G197" s="1"/>
      <c r="H197" s="1"/>
      <c r="I197" s="1"/>
      <c r="J197" s="1"/>
      <c r="K197" s="1"/>
    </row>
    <row r="198" spans="2:11" x14ac:dyDescent="0.2">
      <c r="E198" s="1"/>
      <c r="F198" s="1"/>
      <c r="G198" s="1"/>
      <c r="H198" s="1"/>
      <c r="I198" s="1"/>
      <c r="J198" s="1"/>
      <c r="K198" s="1"/>
    </row>
    <row r="199" spans="2:11" x14ac:dyDescent="0.2">
      <c r="E199" s="1"/>
      <c r="F199" s="1"/>
      <c r="G199" s="1"/>
      <c r="H199" s="1"/>
      <c r="I199" s="1"/>
      <c r="J199" s="1"/>
      <c r="K199" s="1"/>
    </row>
    <row r="200" spans="2:11" x14ac:dyDescent="0.2">
      <c r="E200" s="1"/>
      <c r="F200" s="1"/>
      <c r="G200" s="1"/>
      <c r="H200" s="1"/>
      <c r="I200" s="1"/>
      <c r="J200" s="1"/>
      <c r="K200" s="1"/>
    </row>
    <row r="201" spans="2:11" x14ac:dyDescent="0.2">
      <c r="E201" s="1"/>
      <c r="F201" s="1"/>
      <c r="G201" s="1"/>
      <c r="H201" s="1"/>
      <c r="I201" s="1"/>
      <c r="J201" s="1"/>
      <c r="K201" s="1"/>
    </row>
    <row r="202" spans="2:11" x14ac:dyDescent="0.2">
      <c r="E202" s="1"/>
      <c r="F202" s="1"/>
      <c r="G202" s="1"/>
      <c r="H202" s="1"/>
      <c r="I202" s="1"/>
      <c r="J202" s="1"/>
      <c r="K202" s="1"/>
    </row>
    <row r="203" spans="2:11" x14ac:dyDescent="0.2">
      <c r="E203" s="1"/>
      <c r="F203" s="1"/>
      <c r="G203" s="1"/>
      <c r="H203" s="1"/>
      <c r="I203" s="1"/>
      <c r="J203" s="1"/>
      <c r="K203" s="1"/>
    </row>
    <row r="204" spans="2:11" x14ac:dyDescent="0.2">
      <c r="E204" s="1"/>
      <c r="F204" s="1"/>
      <c r="G204" s="1"/>
      <c r="H204" s="1"/>
      <c r="I204" s="1"/>
      <c r="J204" s="1"/>
      <c r="K204" s="1"/>
    </row>
    <row r="205" spans="2:11" x14ac:dyDescent="0.2">
      <c r="B205" s="1"/>
      <c r="C205" s="1"/>
      <c r="D205" s="1"/>
      <c r="E205" s="1"/>
      <c r="F205" s="1"/>
      <c r="G205" s="1"/>
      <c r="H205" s="1"/>
      <c r="I205" s="1"/>
      <c r="J205" s="1"/>
      <c r="K205" s="1"/>
    </row>
    <row r="206" spans="2:11" x14ac:dyDescent="0.2">
      <c r="B206" s="1"/>
      <c r="C206" s="1"/>
      <c r="D206" s="1"/>
      <c r="E206" s="1"/>
      <c r="F206" s="1"/>
      <c r="G206" s="1"/>
      <c r="H206" s="1"/>
      <c r="I206" s="1"/>
      <c r="J206" s="1"/>
      <c r="K206" s="1"/>
    </row>
    <row r="207" spans="2:11" x14ac:dyDescent="0.2">
      <c r="B207" s="1"/>
      <c r="C207" s="1"/>
      <c r="D207" s="1"/>
      <c r="E207" s="1"/>
      <c r="F207" s="1"/>
      <c r="G207" s="1"/>
      <c r="H207" s="1"/>
      <c r="I207" s="1"/>
      <c r="J207" s="1"/>
      <c r="K207" s="1"/>
    </row>
    <row r="208" spans="2:11" x14ac:dyDescent="0.2">
      <c r="B208" s="1"/>
      <c r="C208" s="1"/>
      <c r="D208" s="1"/>
      <c r="E208" s="1"/>
      <c r="F208" s="1"/>
      <c r="G208" s="1"/>
      <c r="H208" s="1"/>
      <c r="I208" s="1"/>
      <c r="J208" s="1"/>
      <c r="K208" s="1"/>
    </row>
    <row r="209" spans="2:11" x14ac:dyDescent="0.2">
      <c r="B209" s="1"/>
      <c r="C209" s="1"/>
      <c r="D209" s="1"/>
      <c r="E209" s="1"/>
      <c r="F209" s="1"/>
      <c r="G209" s="1"/>
      <c r="H209" s="1"/>
      <c r="I209" s="1"/>
      <c r="J209" s="1"/>
      <c r="K209" s="1"/>
    </row>
    <row r="210" spans="2:11" x14ac:dyDescent="0.2">
      <c r="B210" s="1"/>
      <c r="C210" s="1"/>
      <c r="D210" s="1"/>
      <c r="E210" s="1"/>
      <c r="F210" s="1"/>
      <c r="G210" s="1"/>
      <c r="H210" s="1"/>
      <c r="I210" s="1"/>
      <c r="J210" s="1"/>
      <c r="K210" s="1"/>
    </row>
    <row r="211" spans="2:11" x14ac:dyDescent="0.2">
      <c r="B211" s="1"/>
      <c r="C211" s="1"/>
      <c r="D211" s="1"/>
      <c r="E211" s="1"/>
      <c r="F211" s="1"/>
      <c r="G211" s="1"/>
      <c r="H211" s="1"/>
      <c r="I211" s="1"/>
      <c r="J211" s="1"/>
      <c r="K211" s="1"/>
    </row>
    <row r="212" spans="2:11" x14ac:dyDescent="0.2">
      <c r="B212" s="1"/>
      <c r="C212" s="1"/>
      <c r="D212" s="1"/>
      <c r="E212" s="1"/>
      <c r="F212" s="1"/>
      <c r="G212" s="1"/>
      <c r="H212" s="1"/>
      <c r="I212" s="1"/>
      <c r="J212" s="1"/>
      <c r="K212" s="1"/>
    </row>
    <row r="213" spans="2:11" x14ac:dyDescent="0.2">
      <c r="B213" s="1"/>
      <c r="C213" s="1"/>
      <c r="D213" s="1"/>
      <c r="E213" s="1"/>
      <c r="F213" s="1"/>
      <c r="G213" s="1"/>
      <c r="H213" s="1"/>
      <c r="I213" s="1"/>
      <c r="J213" s="1"/>
      <c r="K213" s="1"/>
    </row>
    <row r="214" spans="2:11" x14ac:dyDescent="0.2">
      <c r="B214" s="1"/>
      <c r="C214" s="1"/>
      <c r="D214" s="1"/>
      <c r="E214" s="1"/>
      <c r="F214" s="1"/>
      <c r="G214" s="1"/>
      <c r="H214" s="1"/>
      <c r="I214" s="1"/>
      <c r="J214" s="1"/>
      <c r="K214" s="1"/>
    </row>
    <row r="215" spans="2:11" x14ac:dyDescent="0.2">
      <c r="B215" s="1"/>
      <c r="C215" s="1"/>
      <c r="D215" s="1"/>
      <c r="E215" s="1"/>
      <c r="F215" s="1"/>
      <c r="G215" s="1"/>
      <c r="H215" s="1"/>
      <c r="I215" s="1"/>
      <c r="J215" s="1"/>
      <c r="K215" s="1"/>
    </row>
    <row r="216" spans="2:11" x14ac:dyDescent="0.2">
      <c r="B216" s="1"/>
      <c r="C216" s="1"/>
      <c r="D216" s="1"/>
      <c r="E216" s="1"/>
      <c r="F216" s="1"/>
      <c r="G216" s="1"/>
      <c r="H216" s="1"/>
      <c r="I216" s="1"/>
      <c r="J216" s="1"/>
      <c r="K216" s="1"/>
    </row>
    <row r="217" spans="2:11" x14ac:dyDescent="0.2">
      <c r="B217" s="1"/>
      <c r="C217" s="1"/>
      <c r="D217" s="1"/>
      <c r="E217" s="1"/>
      <c r="F217" s="1"/>
      <c r="G217" s="1"/>
      <c r="H217" s="1"/>
      <c r="I217" s="1"/>
      <c r="J217" s="1"/>
      <c r="K217" s="1"/>
    </row>
    <row r="218" spans="2:11" x14ac:dyDescent="0.2">
      <c r="B218" s="1"/>
      <c r="C218" s="1"/>
      <c r="D218" s="1"/>
      <c r="E218" s="1"/>
      <c r="F218" s="1"/>
      <c r="G218" s="1"/>
      <c r="H218" s="1"/>
      <c r="I218" s="1"/>
      <c r="J218" s="1"/>
      <c r="K218" s="1"/>
    </row>
    <row r="219" spans="2:11" x14ac:dyDescent="0.2">
      <c r="B219" s="1"/>
      <c r="C219" s="1"/>
      <c r="D219" s="1"/>
      <c r="E219" s="1"/>
      <c r="F219" s="1"/>
      <c r="G219" s="1"/>
      <c r="H219" s="1"/>
      <c r="I219" s="1"/>
      <c r="J219" s="1"/>
      <c r="K219" s="1"/>
    </row>
    <row r="220" spans="2:11" x14ac:dyDescent="0.2">
      <c r="B220" s="1"/>
      <c r="C220" s="1"/>
      <c r="D220" s="1"/>
      <c r="E220" s="1"/>
      <c r="F220" s="1"/>
      <c r="G220" s="1"/>
      <c r="H220" s="1"/>
      <c r="I220" s="1"/>
      <c r="J220" s="1"/>
      <c r="K220" s="1"/>
    </row>
    <row r="221" spans="2:11" x14ac:dyDescent="0.2">
      <c r="B221" s="1"/>
      <c r="C221" s="1"/>
      <c r="D221" s="1"/>
      <c r="E221" s="1"/>
      <c r="F221" s="1"/>
      <c r="G221" s="1"/>
      <c r="H221" s="1"/>
      <c r="I221" s="1"/>
      <c r="J221" s="1"/>
      <c r="K221" s="1"/>
    </row>
    <row r="222" spans="2:11" x14ac:dyDescent="0.2">
      <c r="B222" s="1"/>
      <c r="C222" s="1"/>
      <c r="D222" s="1"/>
      <c r="E222" s="1"/>
      <c r="F222" s="1"/>
      <c r="G222" s="1"/>
      <c r="H222" s="1"/>
      <c r="I222" s="1"/>
      <c r="J222" s="1"/>
      <c r="K222" s="1"/>
    </row>
    <row r="223" spans="2:11" x14ac:dyDescent="0.2">
      <c r="B223" s="1"/>
      <c r="C223" s="1"/>
      <c r="D223" s="1"/>
      <c r="E223" s="1"/>
      <c r="F223" s="1"/>
      <c r="G223" s="1"/>
      <c r="H223" s="1"/>
      <c r="I223" s="1"/>
      <c r="J223" s="1"/>
      <c r="K223" s="1"/>
    </row>
  </sheetData>
  <mergeCells count="13">
    <mergeCell ref="Q17:R17"/>
    <mergeCell ref="Q12:R12"/>
    <mergeCell ref="Q13:R13"/>
    <mergeCell ref="Q14:R14"/>
    <mergeCell ref="Q15:R15"/>
    <mergeCell ref="Q16:R16"/>
    <mergeCell ref="Q18:R18"/>
    <mergeCell ref="Q19:R19"/>
    <mergeCell ref="Q24:R24"/>
    <mergeCell ref="Q20:R20"/>
    <mergeCell ref="Q21:R21"/>
    <mergeCell ref="Q22:R22"/>
    <mergeCell ref="Q23:R23"/>
  </mergeCells>
  <phoneticPr fontId="15" type="noConversion"/>
  <pageMargins left="0.75" right="0.75" top="1" bottom="1" header="0.5" footer="0.5"/>
  <headerFooter alignWithMargins="0"/>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2:AR223"/>
  <sheetViews>
    <sheetView showGridLines="0" zoomScale="55" workbookViewId="0"/>
  </sheetViews>
  <sheetFormatPr defaultColWidth="8.77734375" defaultRowHeight="15" x14ac:dyDescent="0.2"/>
  <cols>
    <col min="1" max="1" width="14.6640625" style="419" customWidth="1"/>
    <col min="2" max="2" width="15.6640625" style="419" customWidth="1"/>
    <col min="3" max="3" width="31" style="419" customWidth="1"/>
    <col min="4" max="4" width="25.44140625" style="419" bestFit="1" customWidth="1"/>
    <col min="5" max="5" width="27.77734375" style="419" customWidth="1"/>
    <col min="6" max="6" width="30" style="419" customWidth="1"/>
    <col min="7" max="7" width="26.44140625" style="419" customWidth="1"/>
    <col min="8" max="8" width="26.6640625" style="419" customWidth="1"/>
    <col min="9" max="9" width="20.88671875" style="419" bestFit="1" customWidth="1"/>
    <col min="10" max="10" width="23.77734375" style="419" customWidth="1"/>
    <col min="11" max="11" width="21.77734375" style="419" customWidth="1"/>
    <col min="12" max="12" width="21.21875" style="419" customWidth="1"/>
    <col min="13" max="13" width="20.88671875" style="419" customWidth="1"/>
    <col min="14" max="17" width="16.109375" style="419" customWidth="1"/>
    <col min="18" max="18" width="21" style="419" customWidth="1"/>
    <col min="19" max="19" width="16.88671875" style="419" customWidth="1"/>
    <col min="20" max="20" width="19.109375" style="419" customWidth="1"/>
    <col min="21" max="21" width="18.6640625" style="419" customWidth="1"/>
    <col min="22" max="22" width="13.5546875" style="419" customWidth="1"/>
    <col min="23" max="23" width="13" style="419" customWidth="1"/>
    <col min="24" max="24" width="12.109375" style="419" customWidth="1"/>
    <col min="25" max="25" width="40.109375" style="419" bestFit="1" customWidth="1"/>
    <col min="26" max="26" width="25.33203125" style="419" bestFit="1" customWidth="1"/>
    <col min="27" max="27" width="15.88671875" style="422" bestFit="1" customWidth="1"/>
    <col min="28" max="28" width="14" style="422" customWidth="1"/>
    <col min="29" max="29" width="23.33203125" style="422" bestFit="1" customWidth="1"/>
    <col min="30" max="30" width="17.77734375" style="422" customWidth="1"/>
    <col min="31" max="31" width="12.109375" style="422" bestFit="1" customWidth="1"/>
    <col min="32" max="32" width="12.33203125" style="422" customWidth="1"/>
    <col min="33" max="34" width="8.77734375" style="419"/>
    <col min="35" max="35" width="38.109375" style="419" bestFit="1" customWidth="1"/>
    <col min="36" max="36" width="21.44140625" style="419" bestFit="1" customWidth="1"/>
    <col min="37" max="37" width="32.109375" style="419" customWidth="1"/>
    <col min="38" max="38" width="30.88671875" style="419" bestFit="1" customWidth="1"/>
    <col min="39" max="39" width="19" style="419" bestFit="1" customWidth="1"/>
    <col min="40" max="40" width="8.77734375" style="419"/>
    <col min="41" max="41" width="17.6640625" style="419" customWidth="1"/>
    <col min="42" max="42" width="12.109375" style="419" bestFit="1" customWidth="1"/>
    <col min="43" max="43" width="18.44140625" style="419" bestFit="1" customWidth="1"/>
    <col min="44" max="16384" width="8.77734375" style="419"/>
  </cols>
  <sheetData>
    <row r="2" spans="1:28" ht="20.25" x14ac:dyDescent="0.3">
      <c r="B2" s="545" t="s">
        <v>743</v>
      </c>
    </row>
    <row r="3" spans="1:28" ht="15.75" x14ac:dyDescent="0.25">
      <c r="A3" s="446"/>
    </row>
    <row r="4" spans="1:28" ht="13.5" customHeight="1" x14ac:dyDescent="0.25">
      <c r="A4" s="446"/>
    </row>
    <row r="5" spans="1:28" ht="15.75" x14ac:dyDescent="0.25">
      <c r="B5" s="446" t="s">
        <v>800</v>
      </c>
      <c r="C5" s="416" t="str">
        <f>'Gross margin summary'!J15</f>
        <v>GM7</v>
      </c>
      <c r="D5" s="417"/>
      <c r="E5" s="446"/>
    </row>
    <row r="7" spans="1:28" ht="18" customHeight="1" x14ac:dyDescent="0.2">
      <c r="A7" s="1"/>
      <c r="B7" s="1"/>
      <c r="C7" s="1"/>
      <c r="D7" s="1"/>
      <c r="E7" s="1"/>
      <c r="F7" s="1"/>
      <c r="G7" s="1"/>
      <c r="H7" s="1"/>
      <c r="I7" s="1"/>
      <c r="J7" s="1"/>
      <c r="K7" s="1"/>
      <c r="L7" s="1"/>
      <c r="M7" s="1"/>
      <c r="N7" s="1"/>
      <c r="O7" s="1"/>
      <c r="P7" s="1"/>
      <c r="Q7" s="1"/>
      <c r="R7" s="1"/>
      <c r="S7" s="1"/>
      <c r="T7" s="1"/>
      <c r="U7" s="1"/>
      <c r="V7" s="1"/>
      <c r="W7" s="1"/>
      <c r="X7" s="1"/>
      <c r="Y7" s="1"/>
      <c r="Z7" s="1"/>
      <c r="AA7" s="6"/>
    </row>
    <row r="8" spans="1:28" ht="18" customHeight="1" x14ac:dyDescent="0.2">
      <c r="A8" s="1"/>
      <c r="B8" s="1"/>
      <c r="C8" s="12" t="s">
        <v>689</v>
      </c>
      <c r="D8" s="546">
        <v>100</v>
      </c>
      <c r="E8" s="1" t="s">
        <v>1000</v>
      </c>
      <c r="L8" s="1"/>
      <c r="M8" s="1"/>
      <c r="O8" s="1"/>
      <c r="P8" s="1"/>
      <c r="Q8" s="1"/>
      <c r="R8" s="1"/>
      <c r="S8" s="1"/>
      <c r="T8" s="1"/>
      <c r="U8" s="1"/>
      <c r="V8" s="1"/>
      <c r="W8" s="1"/>
      <c r="X8" s="1"/>
      <c r="Y8" s="1"/>
      <c r="Z8" s="1"/>
      <c r="AA8" s="6"/>
    </row>
    <row r="9" spans="1:28" ht="18" customHeight="1" x14ac:dyDescent="0.2">
      <c r="A9" s="1"/>
      <c r="B9" s="1"/>
      <c r="C9" s="12" t="s">
        <v>373</v>
      </c>
      <c r="D9" s="546">
        <v>100</v>
      </c>
      <c r="E9" s="419" t="s">
        <v>1000</v>
      </c>
      <c r="F9" s="12"/>
      <c r="G9"/>
      <c r="H9"/>
      <c r="I9"/>
      <c r="J9"/>
      <c r="K9"/>
      <c r="L9" s="1"/>
      <c r="M9" s="1"/>
      <c r="O9" s="1"/>
      <c r="P9" s="1"/>
      <c r="Q9" s="443" t="s">
        <v>645</v>
      </c>
      <c r="R9" s="443"/>
      <c r="S9" s="443"/>
      <c r="T9" s="1"/>
      <c r="U9" s="1"/>
      <c r="V9" s="1"/>
      <c r="W9" s="1"/>
      <c r="X9" s="1"/>
      <c r="Y9" s="1"/>
      <c r="Z9" s="1"/>
      <c r="AA9" s="6"/>
    </row>
    <row r="10" spans="1:28" ht="18" customHeight="1" x14ac:dyDescent="0.2">
      <c r="A10" s="1"/>
      <c r="B10" s="1"/>
      <c r="C10" s="12" t="s">
        <v>690</v>
      </c>
      <c r="D10" s="421">
        <f>IF(D9&lt;=0,0,D9/D8)</f>
        <v>1</v>
      </c>
      <c r="F10" s="12"/>
      <c r="G10"/>
      <c r="H10"/>
      <c r="I10"/>
      <c r="J10"/>
      <c r="K10"/>
      <c r="L10" s="1"/>
      <c r="M10" s="1"/>
      <c r="O10" s="1"/>
      <c r="P10" s="1"/>
      <c r="Q10" s="1"/>
      <c r="R10" s="1"/>
      <c r="S10" s="1"/>
      <c r="T10" s="1"/>
      <c r="U10" s="1"/>
      <c r="V10" s="1"/>
      <c r="W10" s="1"/>
      <c r="X10" s="1"/>
      <c r="Y10" s="1"/>
      <c r="Z10" s="1"/>
      <c r="AA10" s="6"/>
    </row>
    <row r="11" spans="1:28" ht="18" customHeight="1" x14ac:dyDescent="0.25">
      <c r="A11" s="1"/>
      <c r="B11" s="1"/>
      <c r="C11" s="12"/>
      <c r="D11"/>
      <c r="E11" s="1"/>
      <c r="F11" s="12"/>
      <c r="G11"/>
      <c r="H11"/>
      <c r="I11"/>
      <c r="J11"/>
      <c r="K11"/>
      <c r="L11" s="1"/>
      <c r="M11" s="1"/>
      <c r="O11" s="1"/>
      <c r="P11" s="1"/>
      <c r="R11" s="544"/>
      <c r="S11" s="477" t="s">
        <v>698</v>
      </c>
      <c r="T11" s="477" t="s">
        <v>699</v>
      </c>
      <c r="U11" s="477" t="s">
        <v>700</v>
      </c>
      <c r="V11" s="477" t="s">
        <v>701</v>
      </c>
      <c r="W11" s="477" t="s">
        <v>702</v>
      </c>
      <c r="X11" s="477" t="s">
        <v>703</v>
      </c>
      <c r="Y11" s="1"/>
      <c r="Z11" s="424" t="s">
        <v>857</v>
      </c>
      <c r="AA11" s="425"/>
      <c r="AB11" s="6"/>
    </row>
    <row r="12" spans="1:28" ht="18" customHeight="1" x14ac:dyDescent="0.2">
      <c r="A12" s="1"/>
      <c r="B12" s="1"/>
      <c r="C12" s="1"/>
      <c r="D12" s="1"/>
      <c r="E12" s="1"/>
      <c r="F12" s="1"/>
      <c r="G12" s="1"/>
      <c r="H12" s="1"/>
      <c r="I12" s="1"/>
      <c r="J12" s="1"/>
      <c r="K12" s="1"/>
      <c r="L12" s="1"/>
      <c r="M12" s="423"/>
      <c r="N12" s="1"/>
      <c r="O12" s="1"/>
      <c r="P12" s="1"/>
      <c r="Q12" s="583" t="s">
        <v>646</v>
      </c>
      <c r="R12" s="584"/>
      <c r="S12" s="429">
        <f>F16</f>
        <v>0</v>
      </c>
      <c r="T12" s="429">
        <f>F17</f>
        <v>0</v>
      </c>
      <c r="U12" s="429">
        <f>F18</f>
        <v>0</v>
      </c>
      <c r="V12" s="429">
        <f>F19</f>
        <v>0</v>
      </c>
      <c r="W12" s="429">
        <f>F20</f>
        <v>0</v>
      </c>
      <c r="X12" s="429">
        <f>F21</f>
        <v>0</v>
      </c>
      <c r="Z12" s="427" t="s">
        <v>858</v>
      </c>
      <c r="AA12" s="427"/>
      <c r="AB12" s="6"/>
    </row>
    <row r="13" spans="1:28" ht="18" customHeight="1" x14ac:dyDescent="0.25">
      <c r="A13" s="1"/>
      <c r="B13" s="5" t="s">
        <v>691</v>
      </c>
      <c r="C13" s="1"/>
      <c r="D13" s="426" t="s">
        <v>376</v>
      </c>
      <c r="E13" s="426"/>
      <c r="F13" s="426"/>
      <c r="G13" s="426"/>
      <c r="H13" s="1"/>
      <c r="I13" s="1"/>
      <c r="J13" s="1"/>
      <c r="K13" s="1"/>
      <c r="L13" s="1"/>
      <c r="M13" s="1"/>
      <c r="N13" s="1"/>
      <c r="O13" s="1"/>
      <c r="P13" s="1"/>
      <c r="Q13" s="583" t="s">
        <v>647</v>
      </c>
      <c r="R13" s="584"/>
      <c r="S13" s="478">
        <v>0</v>
      </c>
      <c r="T13" s="478">
        <v>0</v>
      </c>
      <c r="U13" s="478">
        <v>0</v>
      </c>
      <c r="V13" s="478">
        <v>0</v>
      </c>
      <c r="W13" s="478">
        <v>0</v>
      </c>
      <c r="X13" s="478">
        <v>0</v>
      </c>
      <c r="Z13" s="428" t="s">
        <v>859</v>
      </c>
      <c r="AA13" s="419"/>
      <c r="AB13" s="6"/>
    </row>
    <row r="14" spans="1:28" ht="18" customHeight="1" x14ac:dyDescent="0.25">
      <c r="A14" s="1"/>
      <c r="B14" s="1"/>
      <c r="C14" s="1"/>
      <c r="D14" s="1"/>
      <c r="E14" s="1"/>
      <c r="F14" s="1"/>
      <c r="G14" s="1"/>
      <c r="H14" s="1"/>
      <c r="I14" s="1"/>
      <c r="J14" s="1"/>
      <c r="K14" s="1"/>
      <c r="L14" s="1"/>
      <c r="M14" s="1"/>
      <c r="N14" s="1"/>
      <c r="O14" s="1"/>
      <c r="P14" s="1"/>
      <c r="Q14" s="583" t="s">
        <v>648</v>
      </c>
      <c r="R14" s="584"/>
      <c r="S14" s="409">
        <f t="shared" ref="S14:X14" si="0">S12*(1-S13)</f>
        <v>0</v>
      </c>
      <c r="T14" s="409">
        <f t="shared" si="0"/>
        <v>0</v>
      </c>
      <c r="U14" s="409">
        <f t="shared" si="0"/>
        <v>0</v>
      </c>
      <c r="V14" s="409">
        <f t="shared" si="0"/>
        <v>0</v>
      </c>
      <c r="W14" s="409">
        <f t="shared" si="0"/>
        <v>0</v>
      </c>
      <c r="X14" s="409">
        <f t="shared" si="0"/>
        <v>0</v>
      </c>
      <c r="Z14" s="430" t="s">
        <v>492</v>
      </c>
      <c r="AA14" s="430" t="s">
        <v>493</v>
      </c>
      <c r="AB14" s="6"/>
    </row>
    <row r="15" spans="1:28" ht="30.75" x14ac:dyDescent="0.25">
      <c r="A15" s="1"/>
      <c r="B15" s="1"/>
      <c r="C15" s="407" t="s">
        <v>377</v>
      </c>
      <c r="D15" s="407" t="s">
        <v>692</v>
      </c>
      <c r="E15" s="407" t="s">
        <v>391</v>
      </c>
      <c r="F15" s="407" t="s">
        <v>693</v>
      </c>
      <c r="G15" s="407" t="s">
        <v>694</v>
      </c>
      <c r="H15" s="407" t="s">
        <v>695</v>
      </c>
      <c r="I15" s="407" t="s">
        <v>559</v>
      </c>
      <c r="J15" s="407" t="s">
        <v>560</v>
      </c>
      <c r="K15" s="407" t="s">
        <v>696</v>
      </c>
      <c r="L15" s="407" t="s">
        <v>697</v>
      </c>
      <c r="M15"/>
      <c r="N15"/>
      <c r="Q15" s="583" t="s">
        <v>682</v>
      </c>
      <c r="R15" s="584"/>
      <c r="S15" s="445"/>
      <c r="T15" s="445"/>
      <c r="U15" s="445"/>
      <c r="V15" s="445"/>
      <c r="W15" s="445"/>
      <c r="X15" s="445"/>
      <c r="Z15" s="434" t="s">
        <v>494</v>
      </c>
      <c r="AA15" s="434" t="s">
        <v>495</v>
      </c>
      <c r="AB15" s="6"/>
    </row>
    <row r="16" spans="1:28" ht="18" customHeight="1" x14ac:dyDescent="0.2">
      <c r="A16" s="1"/>
      <c r="B16" s="1" t="s">
        <v>698</v>
      </c>
      <c r="C16" s="431"/>
      <c r="D16" s="479"/>
      <c r="E16" s="480"/>
      <c r="F16" s="432"/>
      <c r="G16" s="433">
        <f t="shared" ref="G16:G21" si="1">F16*E16</f>
        <v>0</v>
      </c>
      <c r="H16" s="411">
        <f t="shared" ref="H16:H21" si="2">G16*D16</f>
        <v>0</v>
      </c>
      <c r="I16" s="413">
        <f t="shared" ref="I16:I21" si="3">D16/$D$8</f>
        <v>0</v>
      </c>
      <c r="J16" s="413">
        <f t="shared" ref="J16:J21" si="4">IF(D16&lt;=0,0,$D$8/D16)</f>
        <v>0</v>
      </c>
      <c r="K16" s="413">
        <f t="shared" ref="K16:K21" si="5">D16/$D$9</f>
        <v>0</v>
      </c>
      <c r="L16" s="413">
        <f t="shared" ref="L16:L21" si="6">IF(D16&lt;=0,0,$D$9/D16)</f>
        <v>0</v>
      </c>
      <c r="M16"/>
      <c r="N16"/>
      <c r="Q16" s="583" t="s">
        <v>683</v>
      </c>
      <c r="R16" s="584"/>
      <c r="S16" s="433">
        <f t="shared" ref="S16:X16" si="7">S15*S14</f>
        <v>0</v>
      </c>
      <c r="T16" s="433">
        <f t="shared" si="7"/>
        <v>0</v>
      </c>
      <c r="U16" s="433">
        <f t="shared" si="7"/>
        <v>0</v>
      </c>
      <c r="V16" s="433">
        <f t="shared" si="7"/>
        <v>0</v>
      </c>
      <c r="W16" s="433">
        <f t="shared" si="7"/>
        <v>0</v>
      </c>
      <c r="X16" s="433">
        <f t="shared" si="7"/>
        <v>0</v>
      </c>
      <c r="Z16" s="437">
        <v>250</v>
      </c>
      <c r="AA16" s="437">
        <v>38</v>
      </c>
      <c r="AB16" s="6"/>
    </row>
    <row r="17" spans="1:28" ht="18" customHeight="1" x14ac:dyDescent="0.2">
      <c r="A17" s="1"/>
      <c r="B17" s="1" t="s">
        <v>699</v>
      </c>
      <c r="C17" s="431"/>
      <c r="D17" s="435"/>
      <c r="E17" s="436"/>
      <c r="F17" s="432"/>
      <c r="G17" s="433">
        <f t="shared" si="1"/>
        <v>0</v>
      </c>
      <c r="H17" s="411">
        <f t="shared" si="2"/>
        <v>0</v>
      </c>
      <c r="I17" s="413">
        <f t="shared" si="3"/>
        <v>0</v>
      </c>
      <c r="J17" s="413">
        <f t="shared" si="4"/>
        <v>0</v>
      </c>
      <c r="K17" s="413">
        <f t="shared" si="5"/>
        <v>0</v>
      </c>
      <c r="L17" s="413">
        <f t="shared" si="6"/>
        <v>0</v>
      </c>
      <c r="M17"/>
      <c r="N17"/>
      <c r="Q17" s="583" t="s">
        <v>651</v>
      </c>
      <c r="R17" s="584"/>
      <c r="S17" s="478">
        <v>3.5000000000000003E-2</v>
      </c>
      <c r="T17" s="478"/>
      <c r="U17" s="478"/>
      <c r="V17" s="478"/>
      <c r="W17" s="478"/>
      <c r="X17" s="478"/>
      <c r="Z17" s="438">
        <v>300</v>
      </c>
      <c r="AA17" s="438">
        <v>34</v>
      </c>
      <c r="AB17" s="6"/>
    </row>
    <row r="18" spans="1:28" ht="18" customHeight="1" x14ac:dyDescent="0.2">
      <c r="A18" s="1"/>
      <c r="B18" s="1" t="s">
        <v>700</v>
      </c>
      <c r="C18" s="431"/>
      <c r="D18" s="435"/>
      <c r="E18" s="436"/>
      <c r="F18" s="432"/>
      <c r="G18" s="433">
        <f t="shared" si="1"/>
        <v>0</v>
      </c>
      <c r="H18" s="411">
        <f t="shared" si="2"/>
        <v>0</v>
      </c>
      <c r="I18" s="413">
        <f t="shared" si="3"/>
        <v>0</v>
      </c>
      <c r="J18" s="413">
        <f t="shared" si="4"/>
        <v>0</v>
      </c>
      <c r="K18" s="413">
        <f t="shared" si="5"/>
        <v>0</v>
      </c>
      <c r="L18" s="413">
        <f t="shared" si="6"/>
        <v>0</v>
      </c>
      <c r="Q18" s="583" t="s">
        <v>684</v>
      </c>
      <c r="R18" s="584"/>
      <c r="S18" s="433">
        <f t="shared" ref="S18:X18" si="8">S17*S16</f>
        <v>0</v>
      </c>
      <c r="T18" s="433">
        <f t="shared" si="8"/>
        <v>0</v>
      </c>
      <c r="U18" s="433">
        <f t="shared" si="8"/>
        <v>0</v>
      </c>
      <c r="V18" s="433">
        <f t="shared" si="8"/>
        <v>0</v>
      </c>
      <c r="W18" s="433">
        <f t="shared" si="8"/>
        <v>0</v>
      </c>
      <c r="X18" s="433">
        <f t="shared" si="8"/>
        <v>0</v>
      </c>
      <c r="Z18" s="438">
        <v>350</v>
      </c>
      <c r="AA18" s="438">
        <v>30</v>
      </c>
      <c r="AB18" s="6"/>
    </row>
    <row r="19" spans="1:28" ht="18" customHeight="1" x14ac:dyDescent="0.2">
      <c r="A19" s="1"/>
      <c r="B19" s="1" t="s">
        <v>701</v>
      </c>
      <c r="C19" s="431"/>
      <c r="D19" s="435"/>
      <c r="E19" s="436"/>
      <c r="F19" s="432"/>
      <c r="G19" s="433">
        <f t="shared" si="1"/>
        <v>0</v>
      </c>
      <c r="H19" s="411">
        <f t="shared" si="2"/>
        <v>0</v>
      </c>
      <c r="I19" s="413">
        <f t="shared" si="3"/>
        <v>0</v>
      </c>
      <c r="J19" s="413">
        <f t="shared" si="4"/>
        <v>0</v>
      </c>
      <c r="K19" s="413">
        <f t="shared" si="5"/>
        <v>0</v>
      </c>
      <c r="L19" s="413">
        <f t="shared" si="6"/>
        <v>0</v>
      </c>
      <c r="Q19" s="583" t="s">
        <v>653</v>
      </c>
      <c r="R19" s="584"/>
      <c r="S19" s="445"/>
      <c r="T19" s="445"/>
      <c r="U19" s="445"/>
      <c r="V19" s="445"/>
      <c r="W19" s="445"/>
      <c r="X19" s="445"/>
      <c r="Z19" s="438">
        <v>400</v>
      </c>
      <c r="AA19" s="438">
        <v>28</v>
      </c>
      <c r="AB19" s="6"/>
    </row>
    <row r="20" spans="1:28" ht="18" customHeight="1" x14ac:dyDescent="0.2">
      <c r="A20" s="1"/>
      <c r="B20" s="1" t="s">
        <v>702</v>
      </c>
      <c r="C20" s="431"/>
      <c r="D20" s="435"/>
      <c r="E20" s="436"/>
      <c r="F20" s="432"/>
      <c r="G20" s="433">
        <f t="shared" si="1"/>
        <v>0</v>
      </c>
      <c r="H20" s="411">
        <f t="shared" si="2"/>
        <v>0</v>
      </c>
      <c r="I20" s="413">
        <f t="shared" si="3"/>
        <v>0</v>
      </c>
      <c r="J20" s="413">
        <f t="shared" si="4"/>
        <v>0</v>
      </c>
      <c r="K20" s="413">
        <f t="shared" si="5"/>
        <v>0</v>
      </c>
      <c r="L20" s="413">
        <f t="shared" si="6"/>
        <v>0</v>
      </c>
      <c r="Q20" s="583" t="s">
        <v>685</v>
      </c>
      <c r="R20" s="584"/>
      <c r="S20" s="445"/>
      <c r="T20" s="445"/>
      <c r="U20" s="445"/>
      <c r="V20" s="445"/>
      <c r="W20" s="445"/>
      <c r="X20" s="445"/>
      <c r="Z20" s="438">
        <v>450</v>
      </c>
      <c r="AA20" s="438">
        <v>26</v>
      </c>
      <c r="AB20" s="6"/>
    </row>
    <row r="21" spans="1:28" ht="18" customHeight="1" x14ac:dyDescent="0.2">
      <c r="A21" s="1"/>
      <c r="B21" s="1" t="s">
        <v>703</v>
      </c>
      <c r="C21" s="431"/>
      <c r="D21" s="435"/>
      <c r="E21" s="436"/>
      <c r="F21" s="432"/>
      <c r="G21" s="433">
        <f t="shared" si="1"/>
        <v>0</v>
      </c>
      <c r="H21" s="411">
        <f t="shared" si="2"/>
        <v>0</v>
      </c>
      <c r="I21" s="413">
        <f t="shared" si="3"/>
        <v>0</v>
      </c>
      <c r="J21" s="413">
        <f t="shared" si="4"/>
        <v>0</v>
      </c>
      <c r="K21" s="413">
        <f t="shared" si="5"/>
        <v>0</v>
      </c>
      <c r="L21" s="413">
        <f t="shared" si="6"/>
        <v>0</v>
      </c>
      <c r="Q21" s="583" t="s">
        <v>655</v>
      </c>
      <c r="R21" s="584"/>
      <c r="S21" s="433">
        <f t="shared" ref="S21:X21" si="9">S16-S18-S19-S20</f>
        <v>0</v>
      </c>
      <c r="T21" s="433">
        <f t="shared" si="9"/>
        <v>0</v>
      </c>
      <c r="U21" s="433">
        <f t="shared" si="9"/>
        <v>0</v>
      </c>
      <c r="V21" s="433">
        <f t="shared" si="9"/>
        <v>0</v>
      </c>
      <c r="W21" s="433">
        <f t="shared" si="9"/>
        <v>0</v>
      </c>
      <c r="X21" s="433">
        <f t="shared" si="9"/>
        <v>0</v>
      </c>
      <c r="Z21" s="438">
        <v>500</v>
      </c>
      <c r="AA21" s="438">
        <v>24</v>
      </c>
      <c r="AB21" s="6"/>
    </row>
    <row r="22" spans="1:28" ht="18" customHeight="1" thickBot="1" x14ac:dyDescent="0.25">
      <c r="A22" s="1"/>
      <c r="B22" s="1"/>
      <c r="C22" s="1"/>
      <c r="D22" s="1"/>
      <c r="E22" s="1"/>
      <c r="F22" s="439">
        <f>SUMPRODUCT(D16:D21,F16:F21)</f>
        <v>0</v>
      </c>
      <c r="G22" s="1"/>
      <c r="H22" s="440">
        <f>SUM(H16:H21)</f>
        <v>0</v>
      </c>
      <c r="I22" s="1"/>
      <c r="J22" s="1"/>
      <c r="K22" s="1"/>
      <c r="L22" s="1"/>
      <c r="Q22" s="583" t="s">
        <v>656</v>
      </c>
      <c r="R22" s="584"/>
      <c r="S22" s="409">
        <f t="shared" ref="S22:X22" si="10">S12</f>
        <v>0</v>
      </c>
      <c r="T22" s="409">
        <f t="shared" si="10"/>
        <v>0</v>
      </c>
      <c r="U22" s="409">
        <f t="shared" si="10"/>
        <v>0</v>
      </c>
      <c r="V22" s="409">
        <f t="shared" si="10"/>
        <v>0</v>
      </c>
      <c r="W22" s="409">
        <f t="shared" si="10"/>
        <v>0</v>
      </c>
      <c r="X22" s="409">
        <f t="shared" si="10"/>
        <v>0</v>
      </c>
      <c r="Z22" s="438">
        <v>550</v>
      </c>
      <c r="AA22" s="438">
        <v>22</v>
      </c>
      <c r="AB22" s="6"/>
    </row>
    <row r="23" spans="1:28" ht="18" customHeight="1" thickTop="1" x14ac:dyDescent="0.2">
      <c r="A23" s="1"/>
      <c r="B23" s="1"/>
      <c r="C23" s="1"/>
      <c r="D23" s="1"/>
      <c r="E23" s="1"/>
      <c r="F23" s="1"/>
      <c r="G23" s="1"/>
      <c r="H23" s="1"/>
      <c r="I23" s="1"/>
      <c r="J23" s="1"/>
      <c r="K23" s="1"/>
      <c r="L23" s="1"/>
      <c r="M23" s="1"/>
      <c r="N23" s="1"/>
      <c r="O23" s="1"/>
      <c r="P23" s="1"/>
      <c r="Q23" s="583" t="s">
        <v>686</v>
      </c>
      <c r="R23" s="584"/>
      <c r="S23" s="433">
        <f t="shared" ref="S23:X23" si="11">IF(S14&gt;0,(S18+S19+S20)/S14,0)</f>
        <v>0</v>
      </c>
      <c r="T23" s="433">
        <f t="shared" si="11"/>
        <v>0</v>
      </c>
      <c r="U23" s="433">
        <f t="shared" si="11"/>
        <v>0</v>
      </c>
      <c r="V23" s="433">
        <f t="shared" si="11"/>
        <v>0</v>
      </c>
      <c r="W23" s="433">
        <f t="shared" si="11"/>
        <v>0</v>
      </c>
      <c r="X23" s="433">
        <f t="shared" si="11"/>
        <v>0</v>
      </c>
      <c r="Z23" s="438">
        <v>600</v>
      </c>
      <c r="AA23" s="438">
        <v>20</v>
      </c>
      <c r="AB23" s="6"/>
    </row>
    <row r="24" spans="1:28" ht="18" customHeight="1" x14ac:dyDescent="0.2">
      <c r="A24" s="1"/>
      <c r="C24" s="1"/>
      <c r="D24" s="1"/>
      <c r="E24" s="1"/>
      <c r="F24" s="1"/>
      <c r="G24" s="1"/>
      <c r="H24" s="1"/>
      <c r="I24" s="1"/>
      <c r="J24" s="1"/>
      <c r="K24" s="1"/>
      <c r="L24" s="1"/>
      <c r="M24" s="1"/>
      <c r="N24" s="1"/>
      <c r="O24" s="1"/>
      <c r="P24" s="1"/>
      <c r="Q24" s="583" t="s">
        <v>687</v>
      </c>
      <c r="R24" s="584"/>
      <c r="S24" s="433">
        <f t="shared" ref="S24:X24" si="12">IF(S22&gt;0,S21/S22,0)</f>
        <v>0</v>
      </c>
      <c r="T24" s="433">
        <f t="shared" si="12"/>
        <v>0</v>
      </c>
      <c r="U24" s="433">
        <f t="shared" si="12"/>
        <v>0</v>
      </c>
      <c r="V24" s="433">
        <f t="shared" si="12"/>
        <v>0</v>
      </c>
      <c r="W24" s="433">
        <f t="shared" si="12"/>
        <v>0</v>
      </c>
      <c r="X24" s="433">
        <f t="shared" si="12"/>
        <v>0</v>
      </c>
      <c r="Z24" s="438">
        <v>650</v>
      </c>
      <c r="AA24" s="438">
        <v>18</v>
      </c>
      <c r="AB24" s="6"/>
    </row>
    <row r="25" spans="1:28" customFormat="1" ht="18" customHeight="1" x14ac:dyDescent="0.2"/>
    <row r="26" spans="1:28" customFormat="1" ht="18" customHeight="1" x14ac:dyDescent="0.25">
      <c r="B26" s="5" t="s">
        <v>390</v>
      </c>
      <c r="C26" s="419"/>
      <c r="D26" s="193"/>
      <c r="E26" s="193"/>
      <c r="F26" s="193"/>
      <c r="G26" s="193"/>
      <c r="H26" s="193"/>
      <c r="I26" s="193"/>
      <c r="J26" s="419"/>
      <c r="K26" s="419"/>
      <c r="L26" s="245"/>
    </row>
    <row r="27" spans="1:28" customFormat="1" ht="18" customHeight="1" x14ac:dyDescent="0.25">
      <c r="B27" s="446"/>
      <c r="C27" s="255"/>
      <c r="D27" s="193"/>
      <c r="E27" s="193"/>
      <c r="F27" s="193"/>
      <c r="G27" s="193"/>
      <c r="H27" s="193"/>
      <c r="I27" s="193"/>
      <c r="J27" s="193"/>
      <c r="K27" s="419"/>
      <c r="L27" s="245"/>
    </row>
    <row r="28" spans="1:28" customFormat="1" ht="30.75" x14ac:dyDescent="0.25">
      <c r="C28" s="407" t="s">
        <v>866</v>
      </c>
      <c r="D28" s="407" t="s">
        <v>867</v>
      </c>
      <c r="E28" s="407" t="s">
        <v>384</v>
      </c>
      <c r="F28" s="408" t="s">
        <v>716</v>
      </c>
      <c r="G28" s="408" t="s">
        <v>385</v>
      </c>
      <c r="H28" s="408" t="s">
        <v>386</v>
      </c>
      <c r="I28" s="407" t="s">
        <v>387</v>
      </c>
      <c r="J28" s="407" t="s">
        <v>389</v>
      </c>
      <c r="K28" s="407" t="s">
        <v>688</v>
      </c>
      <c r="L28" s="407" t="s">
        <v>388</v>
      </c>
      <c r="Z28" s="446" t="s">
        <v>375</v>
      </c>
      <c r="AA28" s="419"/>
    </row>
    <row r="29" spans="1:28" customFormat="1" ht="18" customHeight="1" x14ac:dyDescent="0.2">
      <c r="B29" s="1" t="s">
        <v>698</v>
      </c>
      <c r="C29" s="409">
        <f t="shared" ref="C29:C34" si="13">D16</f>
        <v>0</v>
      </c>
      <c r="D29" s="409">
        <f t="shared" ref="D29:D34" si="14">F16</f>
        <v>0</v>
      </c>
      <c r="E29" s="450"/>
      <c r="F29" s="451"/>
      <c r="G29" s="450"/>
      <c r="H29" s="411">
        <f t="shared" ref="H29:H34" si="15">IF(C29&gt;0,C29*E29*F29/G29,0)</f>
        <v>0</v>
      </c>
      <c r="I29" s="433">
        <f t="shared" ref="I29:I34" si="16">IF(C29&gt;0,H29/C29,0)</f>
        <v>0</v>
      </c>
      <c r="J29" s="549">
        <v>0</v>
      </c>
      <c r="K29" s="549">
        <v>0</v>
      </c>
      <c r="L29" s="433">
        <f t="shared" ref="L29:L34" si="17">K29*C29</f>
        <v>0</v>
      </c>
      <c r="Z29" s="419"/>
      <c r="AA29" s="419"/>
    </row>
    <row r="30" spans="1:28" customFormat="1" ht="18" customHeight="1" x14ac:dyDescent="0.25">
      <c r="B30" s="1" t="s">
        <v>699</v>
      </c>
      <c r="C30" s="409">
        <f t="shared" si="13"/>
        <v>0</v>
      </c>
      <c r="D30" s="409">
        <f t="shared" si="14"/>
        <v>0</v>
      </c>
      <c r="E30" s="450"/>
      <c r="F30" s="451"/>
      <c r="G30" s="450"/>
      <c r="H30" s="411">
        <f t="shared" si="15"/>
        <v>0</v>
      </c>
      <c r="I30" s="433">
        <f t="shared" si="16"/>
        <v>0</v>
      </c>
      <c r="J30" s="549">
        <v>0</v>
      </c>
      <c r="K30" s="549">
        <v>0</v>
      </c>
      <c r="L30" s="433">
        <f t="shared" si="17"/>
        <v>0</v>
      </c>
      <c r="Z30" s="362" t="s">
        <v>374</v>
      </c>
      <c r="AA30" s="548">
        <f>D16</f>
        <v>0</v>
      </c>
    </row>
    <row r="31" spans="1:28" customFormat="1" ht="18" customHeight="1" x14ac:dyDescent="0.25">
      <c r="B31" s="1" t="s">
        <v>700</v>
      </c>
      <c r="C31" s="409">
        <f t="shared" si="13"/>
        <v>0</v>
      </c>
      <c r="D31" s="409">
        <f t="shared" si="14"/>
        <v>0</v>
      </c>
      <c r="E31" s="450"/>
      <c r="F31" s="451"/>
      <c r="G31" s="450"/>
      <c r="H31" s="411">
        <f t="shared" si="15"/>
        <v>0</v>
      </c>
      <c r="I31" s="433">
        <f t="shared" si="16"/>
        <v>0</v>
      </c>
      <c r="J31" s="549">
        <v>0</v>
      </c>
      <c r="K31" s="549">
        <v>0</v>
      </c>
      <c r="L31" s="433">
        <f t="shared" si="17"/>
        <v>0</v>
      </c>
      <c r="Z31" s="362" t="s">
        <v>868</v>
      </c>
      <c r="AA31" s="256">
        <v>200</v>
      </c>
    </row>
    <row r="32" spans="1:28" customFormat="1" ht="18" customHeight="1" x14ac:dyDescent="0.25">
      <c r="B32" s="1" t="s">
        <v>701</v>
      </c>
      <c r="C32" s="409">
        <f t="shared" si="13"/>
        <v>0</v>
      </c>
      <c r="D32" s="409">
        <f t="shared" si="14"/>
        <v>0</v>
      </c>
      <c r="E32" s="450"/>
      <c r="F32" s="451"/>
      <c r="G32" s="450"/>
      <c r="H32" s="411">
        <f t="shared" si="15"/>
        <v>0</v>
      </c>
      <c r="I32" s="433">
        <f t="shared" si="16"/>
        <v>0</v>
      </c>
      <c r="J32" s="549">
        <v>0</v>
      </c>
      <c r="K32" s="549">
        <v>0</v>
      </c>
      <c r="L32" s="433">
        <f t="shared" si="17"/>
        <v>0</v>
      </c>
      <c r="Z32" s="362" t="s">
        <v>869</v>
      </c>
      <c r="AA32" s="257">
        <v>2</v>
      </c>
    </row>
    <row r="33" spans="1:38" customFormat="1" ht="18" customHeight="1" x14ac:dyDescent="0.25">
      <c r="B33" s="1" t="s">
        <v>702</v>
      </c>
      <c r="C33" s="409">
        <f t="shared" si="13"/>
        <v>0</v>
      </c>
      <c r="D33" s="409">
        <f t="shared" si="14"/>
        <v>0</v>
      </c>
      <c r="E33" s="450"/>
      <c r="F33" s="451"/>
      <c r="G33" s="450"/>
      <c r="H33" s="411">
        <f t="shared" si="15"/>
        <v>0</v>
      </c>
      <c r="I33" s="433">
        <f t="shared" si="16"/>
        <v>0</v>
      </c>
      <c r="J33" s="549">
        <v>0</v>
      </c>
      <c r="K33" s="549">
        <v>0</v>
      </c>
      <c r="L33" s="433">
        <f t="shared" si="17"/>
        <v>0</v>
      </c>
      <c r="Z33" s="362" t="s">
        <v>870</v>
      </c>
      <c r="AA33" s="256">
        <v>28</v>
      </c>
    </row>
    <row r="34" spans="1:38" customFormat="1" ht="18" customHeight="1" x14ac:dyDescent="0.25">
      <c r="B34" s="1" t="s">
        <v>703</v>
      </c>
      <c r="C34" s="409">
        <f t="shared" si="13"/>
        <v>0</v>
      </c>
      <c r="D34" s="409">
        <f t="shared" si="14"/>
        <v>0</v>
      </c>
      <c r="E34" s="450"/>
      <c r="F34" s="451"/>
      <c r="G34" s="450"/>
      <c r="H34" s="411">
        <f t="shared" si="15"/>
        <v>0</v>
      </c>
      <c r="I34" s="433">
        <f t="shared" si="16"/>
        <v>0</v>
      </c>
      <c r="J34" s="549">
        <v>0</v>
      </c>
      <c r="K34" s="549">
        <v>0</v>
      </c>
      <c r="L34" s="433">
        <f t="shared" si="17"/>
        <v>0</v>
      </c>
      <c r="Z34" s="362" t="s">
        <v>993</v>
      </c>
      <c r="AA34" s="411">
        <f>IF(AA30&gt;0,AA30*AA31*AA32/AA33,0)</f>
        <v>0</v>
      </c>
    </row>
    <row r="35" spans="1:38" customFormat="1" ht="18" customHeight="1" thickBot="1" x14ac:dyDescent="0.3">
      <c r="B35" s="419"/>
      <c r="C35" s="419"/>
      <c r="D35" s="419"/>
      <c r="E35" s="419"/>
      <c r="F35" s="419"/>
      <c r="G35" s="419"/>
      <c r="H35" s="440">
        <f>SUM(H29:H34)</f>
        <v>0</v>
      </c>
      <c r="I35" s="419"/>
      <c r="J35" s="440">
        <f>SUM(J29:J34)</f>
        <v>0</v>
      </c>
      <c r="K35" s="419"/>
      <c r="L35" s="440">
        <f>SUM(L29:L34)</f>
        <v>0</v>
      </c>
      <c r="Z35" s="362" t="s">
        <v>871</v>
      </c>
      <c r="AA35" s="433">
        <f>IF(AA30&gt;0,AA34/AA30,0)</f>
        <v>0</v>
      </c>
    </row>
    <row r="36" spans="1:38" customFormat="1" ht="18" customHeight="1" thickTop="1" x14ac:dyDescent="0.2"/>
    <row r="37" spans="1:38" customFormat="1" ht="18" customHeight="1" x14ac:dyDescent="0.2"/>
    <row r="38" spans="1:38" customFormat="1" ht="18" customHeight="1" x14ac:dyDescent="0.25">
      <c r="B38" s="5" t="s">
        <v>392</v>
      </c>
      <c r="C38" s="1"/>
      <c r="D38" s="1"/>
      <c r="E38" s="1"/>
      <c r="F38" s="1"/>
      <c r="G38" s="1"/>
      <c r="H38" s="1"/>
      <c r="I38" s="1"/>
      <c r="J38" s="1"/>
      <c r="K38" s="1"/>
      <c r="L38" s="419"/>
      <c r="M38" s="419"/>
      <c r="N38" s="419"/>
      <c r="O38" s="419"/>
      <c r="P38" s="419"/>
    </row>
    <row r="39" spans="1:38" ht="18" customHeight="1" x14ac:dyDescent="0.2">
      <c r="A39" s="1"/>
      <c r="B39" s="1"/>
      <c r="C39" s="1"/>
      <c r="D39" s="1"/>
      <c r="E39" s="1"/>
      <c r="F39" s="1"/>
      <c r="G39" s="1"/>
      <c r="H39" s="1"/>
      <c r="I39" s="1"/>
      <c r="J39" s="1"/>
      <c r="K39" s="1"/>
      <c r="Q39" s="1"/>
      <c r="R39" s="1"/>
      <c r="S39" s="1"/>
      <c r="T39" s="1"/>
      <c r="U39" s="1"/>
      <c r="V39" s="1"/>
      <c r="W39" s="1"/>
      <c r="X39" s="1"/>
      <c r="AA39" s="419"/>
    </row>
    <row r="40" spans="1:38" ht="28.5" customHeight="1" x14ac:dyDescent="0.2">
      <c r="A40" s="1"/>
      <c r="B40" s="1"/>
      <c r="C40" s="407" t="s">
        <v>720</v>
      </c>
      <c r="D40" s="408" t="s">
        <v>883</v>
      </c>
      <c r="E40" s="408" t="s">
        <v>884</v>
      </c>
      <c r="F40" s="408" t="s">
        <v>885</v>
      </c>
      <c r="G40" s="408" t="s">
        <v>886</v>
      </c>
      <c r="H40" s="408" t="s">
        <v>887</v>
      </c>
      <c r="I40" s="408" t="s">
        <v>888</v>
      </c>
      <c r="J40" s="408" t="s">
        <v>889</v>
      </c>
      <c r="K40" s="408" t="s">
        <v>395</v>
      </c>
      <c r="L40" s="408" t="s">
        <v>337</v>
      </c>
      <c r="M40" s="408" t="s">
        <v>993</v>
      </c>
      <c r="X40" s="1"/>
      <c r="Y40" s="1"/>
      <c r="AA40" s="419"/>
    </row>
    <row r="41" spans="1:38" ht="18" customHeight="1" x14ac:dyDescent="0.2">
      <c r="A41" s="1"/>
      <c r="B41" s="1" t="s">
        <v>698</v>
      </c>
      <c r="C41" s="409">
        <f t="shared" ref="C41:C46" si="18">D16</f>
        <v>0</v>
      </c>
      <c r="D41" s="410"/>
      <c r="E41" s="410"/>
      <c r="F41" s="410"/>
      <c r="G41" s="410"/>
      <c r="H41" s="410"/>
      <c r="I41" s="410"/>
      <c r="J41" s="410"/>
      <c r="K41" s="410"/>
      <c r="L41" s="410"/>
      <c r="M41" s="411">
        <f t="shared" ref="M41:M46" si="19">SUM(D41:L41)*C41</f>
        <v>0</v>
      </c>
      <c r="X41" s="1"/>
      <c r="AA41" s="419"/>
      <c r="AB41" s="419"/>
      <c r="AC41" s="419"/>
      <c r="AD41" s="419"/>
      <c r="AE41" s="419"/>
      <c r="AF41" s="419"/>
    </row>
    <row r="42" spans="1:38" ht="18" customHeight="1" x14ac:dyDescent="0.2">
      <c r="A42" s="1"/>
      <c r="B42" s="1" t="s">
        <v>699</v>
      </c>
      <c r="C42" s="409">
        <f t="shared" si="18"/>
        <v>0</v>
      </c>
      <c r="D42" s="410"/>
      <c r="E42" s="410"/>
      <c r="F42" s="410"/>
      <c r="G42" s="410"/>
      <c r="H42" s="410"/>
      <c r="I42" s="410"/>
      <c r="J42" s="410"/>
      <c r="K42" s="410"/>
      <c r="L42" s="410"/>
      <c r="M42" s="411">
        <f t="shared" si="19"/>
        <v>0</v>
      </c>
      <c r="X42" s="1"/>
      <c r="AA42" s="419"/>
      <c r="AB42" s="419"/>
      <c r="AC42" s="419"/>
      <c r="AD42" s="419"/>
      <c r="AE42" s="419"/>
      <c r="AF42" s="419"/>
    </row>
    <row r="43" spans="1:38" ht="18" customHeight="1" x14ac:dyDescent="0.2">
      <c r="A43" s="1"/>
      <c r="B43" s="1" t="s">
        <v>700</v>
      </c>
      <c r="C43" s="409">
        <f t="shared" si="18"/>
        <v>0</v>
      </c>
      <c r="D43" s="410"/>
      <c r="E43" s="410"/>
      <c r="F43" s="410"/>
      <c r="G43" s="410"/>
      <c r="H43" s="410"/>
      <c r="I43" s="410"/>
      <c r="J43" s="410"/>
      <c r="K43" s="410"/>
      <c r="L43" s="410"/>
      <c r="M43" s="411">
        <f t="shared" si="19"/>
        <v>0</v>
      </c>
      <c r="X43" s="1"/>
      <c r="AA43" s="419"/>
      <c r="AB43" s="419"/>
      <c r="AC43" s="419"/>
      <c r="AD43" s="419"/>
      <c r="AE43" s="419"/>
      <c r="AF43" s="419"/>
    </row>
    <row r="44" spans="1:38" ht="18" customHeight="1" x14ac:dyDescent="0.2">
      <c r="A44" s="1"/>
      <c r="B44" s="1" t="s">
        <v>701</v>
      </c>
      <c r="C44" s="409">
        <f t="shared" si="18"/>
        <v>0</v>
      </c>
      <c r="D44" s="410"/>
      <c r="E44" s="410"/>
      <c r="F44" s="410"/>
      <c r="G44" s="410"/>
      <c r="H44" s="410"/>
      <c r="I44" s="410"/>
      <c r="J44" s="410"/>
      <c r="K44" s="410"/>
      <c r="L44" s="410"/>
      <c r="M44" s="411">
        <f t="shared" si="19"/>
        <v>0</v>
      </c>
      <c r="X44" s="1"/>
      <c r="AA44" s="419"/>
      <c r="AB44" s="419"/>
      <c r="AC44" s="419"/>
      <c r="AD44" s="419"/>
      <c r="AE44" s="419"/>
      <c r="AF44" s="419"/>
    </row>
    <row r="45" spans="1:38" ht="18" customHeight="1" x14ac:dyDescent="0.2">
      <c r="A45" s="1"/>
      <c r="B45" s="1" t="s">
        <v>702</v>
      </c>
      <c r="C45" s="409">
        <f t="shared" si="18"/>
        <v>0</v>
      </c>
      <c r="D45" s="410"/>
      <c r="E45" s="410"/>
      <c r="F45" s="410"/>
      <c r="G45" s="410"/>
      <c r="H45" s="410"/>
      <c r="I45" s="410"/>
      <c r="J45" s="410"/>
      <c r="K45" s="410"/>
      <c r="L45" s="410"/>
      <c r="M45" s="411">
        <f t="shared" si="19"/>
        <v>0</v>
      </c>
      <c r="X45" s="1"/>
      <c r="AA45" s="419"/>
      <c r="AB45" s="419"/>
      <c r="AC45" s="419"/>
      <c r="AD45" s="419"/>
      <c r="AE45" s="419"/>
      <c r="AF45" s="419"/>
      <c r="AL45" s="444"/>
    </row>
    <row r="46" spans="1:38" ht="18" customHeight="1" x14ac:dyDescent="0.2">
      <c r="A46" s="1"/>
      <c r="B46" s="1" t="s">
        <v>703</v>
      </c>
      <c r="C46" s="409">
        <f t="shared" si="18"/>
        <v>0</v>
      </c>
      <c r="D46" s="410"/>
      <c r="E46" s="410"/>
      <c r="F46" s="410"/>
      <c r="G46" s="410"/>
      <c r="H46" s="410"/>
      <c r="I46" s="410"/>
      <c r="J46" s="410"/>
      <c r="K46" s="410"/>
      <c r="L46" s="410"/>
      <c r="M46" s="411">
        <f t="shared" si="19"/>
        <v>0</v>
      </c>
      <c r="X46" s="1"/>
      <c r="AA46" s="419"/>
      <c r="AB46" s="419"/>
      <c r="AC46" s="419"/>
      <c r="AD46" s="419"/>
      <c r="AE46" s="419"/>
      <c r="AF46" s="419"/>
      <c r="AK46" s="444"/>
      <c r="AL46" s="444"/>
    </row>
    <row r="47" spans="1:38" ht="18" customHeight="1" x14ac:dyDescent="0.2">
      <c r="A47" s="1"/>
      <c r="B47" s="1"/>
      <c r="C47" s="1"/>
      <c r="D47" s="412">
        <f t="shared" ref="D47:L47" si="20">SUMPRODUCT($C$41:$C$46,D41:D46)</f>
        <v>0</v>
      </c>
      <c r="E47" s="412">
        <f t="shared" si="20"/>
        <v>0</v>
      </c>
      <c r="F47" s="412">
        <f t="shared" si="20"/>
        <v>0</v>
      </c>
      <c r="G47" s="412">
        <f t="shared" si="20"/>
        <v>0</v>
      </c>
      <c r="H47" s="412">
        <f t="shared" si="20"/>
        <v>0</v>
      </c>
      <c r="I47" s="412">
        <f t="shared" si="20"/>
        <v>0</v>
      </c>
      <c r="J47" s="412">
        <f t="shared" si="20"/>
        <v>0</v>
      </c>
      <c r="K47" s="412">
        <f t="shared" si="20"/>
        <v>0</v>
      </c>
      <c r="L47" s="412">
        <f t="shared" si="20"/>
        <v>0</v>
      </c>
      <c r="M47" s="411">
        <f>SUM(M41:M46)</f>
        <v>0</v>
      </c>
      <c r="X47" s="1"/>
      <c r="AA47" s="419"/>
      <c r="AB47" s="419"/>
      <c r="AC47" s="419"/>
      <c r="AD47" s="419"/>
      <c r="AE47" s="419"/>
      <c r="AF47" s="419"/>
      <c r="AK47" s="444"/>
      <c r="AL47" s="444"/>
    </row>
    <row r="48" spans="1:38" ht="18" customHeight="1" x14ac:dyDescent="0.2">
      <c r="A48" s="1"/>
      <c r="Q48" s="1"/>
      <c r="R48" s="1"/>
      <c r="S48" s="1"/>
      <c r="T48" s="1"/>
      <c r="U48" s="1"/>
      <c r="V48" s="1"/>
      <c r="W48" s="1"/>
      <c r="X48" s="1"/>
      <c r="AA48" s="419"/>
      <c r="AB48" s="419"/>
      <c r="AC48" s="419"/>
      <c r="AD48" s="419"/>
      <c r="AE48" s="419"/>
      <c r="AF48" s="419"/>
      <c r="AK48" s="444"/>
      <c r="AL48" s="444"/>
    </row>
    <row r="49" spans="1:38" ht="18" customHeight="1" x14ac:dyDescent="0.2">
      <c r="A49" s="1"/>
      <c r="Q49" s="1"/>
      <c r="R49" s="1"/>
      <c r="S49" s="1"/>
      <c r="T49" s="1"/>
      <c r="U49" s="1"/>
      <c r="V49" s="1"/>
      <c r="W49" s="1"/>
      <c r="X49" s="1"/>
      <c r="AA49" s="419"/>
      <c r="AB49" s="419"/>
      <c r="AC49" s="419"/>
      <c r="AD49" s="419"/>
      <c r="AE49" s="419"/>
      <c r="AF49" s="419"/>
      <c r="AK49" s="444"/>
      <c r="AL49" s="444"/>
    </row>
    <row r="50" spans="1:38" ht="18" customHeight="1" x14ac:dyDescent="0.2">
      <c r="A50" s="1"/>
      <c r="Q50" s="1"/>
      <c r="R50" s="1"/>
      <c r="S50" s="1"/>
      <c r="T50" s="1"/>
      <c r="U50" s="1"/>
      <c r="V50" s="1"/>
      <c r="W50" s="1"/>
      <c r="X50" s="1"/>
      <c r="AA50" s="419"/>
      <c r="AB50" s="419"/>
      <c r="AC50" s="419"/>
      <c r="AD50" s="419"/>
      <c r="AE50" s="419"/>
      <c r="AF50" s="419"/>
      <c r="AK50" s="444"/>
      <c r="AL50" s="444"/>
    </row>
    <row r="51" spans="1:38" ht="18" customHeight="1" x14ac:dyDescent="0.25">
      <c r="A51" s="1"/>
      <c r="B51" s="5" t="s">
        <v>401</v>
      </c>
      <c r="C51"/>
      <c r="D51"/>
      <c r="E51"/>
      <c r="F51"/>
      <c r="G51"/>
      <c r="H51"/>
      <c r="I51"/>
      <c r="J51"/>
      <c r="K51"/>
      <c r="L51"/>
      <c r="M51"/>
      <c r="N51"/>
      <c r="O51"/>
      <c r="P51"/>
      <c r="Q51" s="1"/>
      <c r="R51" s="1"/>
      <c r="S51" s="1"/>
      <c r="T51" s="1"/>
      <c r="U51" s="1"/>
      <c r="V51" s="1"/>
      <c r="W51" s="1"/>
      <c r="X51" s="1"/>
      <c r="AA51" s="419"/>
      <c r="AB51" s="419"/>
      <c r="AC51" s="419"/>
      <c r="AD51" s="419"/>
      <c r="AE51" s="419"/>
      <c r="AF51" s="419"/>
      <c r="AK51" s="444"/>
      <c r="AL51" s="444"/>
    </row>
    <row r="52" spans="1:38" ht="18" customHeight="1" x14ac:dyDescent="0.25">
      <c r="A52" s="1"/>
      <c r="B52" s="5"/>
      <c r="C52" s="1"/>
      <c r="D52" s="1"/>
      <c r="E52" s="1"/>
      <c r="F52" s="1"/>
      <c r="G52" s="1"/>
      <c r="H52" s="1"/>
      <c r="I52" s="1"/>
      <c r="J52" s="1"/>
      <c r="K52" s="1"/>
      <c r="L52" s="1"/>
      <c r="M52" s="1"/>
      <c r="N52" s="1"/>
      <c r="O52" s="1"/>
      <c r="P52" s="1"/>
      <c r="Q52" s="1"/>
      <c r="R52" s="1"/>
      <c r="S52" s="1"/>
      <c r="T52" s="1"/>
      <c r="U52" s="1"/>
      <c r="V52" s="1"/>
      <c r="W52" s="1"/>
      <c r="X52" s="1"/>
      <c r="AA52" s="419"/>
      <c r="AB52" s="419"/>
      <c r="AC52" s="419"/>
      <c r="AD52" s="419"/>
      <c r="AE52" s="419"/>
      <c r="AF52" s="419"/>
      <c r="AK52" s="444"/>
      <c r="AL52" s="444"/>
    </row>
    <row r="53" spans="1:38" ht="30" x14ac:dyDescent="0.2">
      <c r="A53" s="1"/>
      <c r="B53" s="1"/>
      <c r="C53" s="407" t="s">
        <v>704</v>
      </c>
      <c r="D53" s="407" t="s">
        <v>824</v>
      </c>
      <c r="E53" s="407" t="s">
        <v>705</v>
      </c>
      <c r="F53" s="407" t="s">
        <v>378</v>
      </c>
      <c r="G53" s="407" t="s">
        <v>379</v>
      </c>
      <c r="H53" s="407" t="s">
        <v>706</v>
      </c>
      <c r="I53" s="407" t="s">
        <v>380</v>
      </c>
      <c r="J53" s="407" t="s">
        <v>850</v>
      </c>
      <c r="K53" s="407" t="s">
        <v>707</v>
      </c>
      <c r="L53" s="407" t="s">
        <v>708</v>
      </c>
      <c r="M53" s="407" t="s">
        <v>855</v>
      </c>
      <c r="N53" s="407" t="s">
        <v>851</v>
      </c>
      <c r="O53" s="407" t="s">
        <v>856</v>
      </c>
      <c r="Q53" s="1"/>
      <c r="R53" s="1"/>
      <c r="S53" s="1"/>
      <c r="T53" s="1"/>
      <c r="U53" s="1"/>
      <c r="V53" s="1"/>
      <c r="W53" s="1"/>
      <c r="X53" s="1"/>
      <c r="AA53" s="419"/>
      <c r="AB53" s="419"/>
      <c r="AC53" s="419"/>
      <c r="AD53" s="419"/>
      <c r="AE53" s="419"/>
      <c r="AF53" s="419"/>
      <c r="AK53" s="444"/>
      <c r="AL53" s="444"/>
    </row>
    <row r="54" spans="1:38" ht="18" customHeight="1" x14ac:dyDescent="0.2">
      <c r="A54" s="1"/>
      <c r="B54" s="1" t="s">
        <v>698</v>
      </c>
      <c r="C54" s="431"/>
      <c r="D54" s="409">
        <f t="shared" ref="D54:D59" si="21">C54-C16</f>
        <v>0</v>
      </c>
      <c r="E54" s="429"/>
      <c r="F54" s="409">
        <f t="shared" ref="F54:F59" si="22">E54-F16</f>
        <v>0</v>
      </c>
      <c r="G54" s="413">
        <f t="shared" ref="G54:G59" si="23">IF(F54&lt;=0,0,F54/D54)</f>
        <v>0</v>
      </c>
      <c r="H54" s="441"/>
      <c r="I54" s="421">
        <f t="shared" ref="I54:I59" si="24">IF(H54&lt;=0,0,(H54-D16)/D16)</f>
        <v>0</v>
      </c>
      <c r="J54" s="442"/>
      <c r="K54" s="550">
        <f t="shared" ref="K54:K59" si="25">J54*E54</f>
        <v>0</v>
      </c>
      <c r="L54" s="411">
        <f t="shared" ref="L54:L59" si="26">K54*H54</f>
        <v>0</v>
      </c>
      <c r="M54" s="409">
        <f t="shared" ref="M54:M59" si="27">E54*H54</f>
        <v>0</v>
      </c>
      <c r="N54" s="415">
        <v>0.52</v>
      </c>
      <c r="O54" s="409">
        <f t="shared" ref="O54:O59" si="28">N54*M54</f>
        <v>0</v>
      </c>
      <c r="Q54" s="1"/>
      <c r="R54" s="1"/>
      <c r="S54" s="1"/>
      <c r="T54" s="1"/>
      <c r="U54" s="1"/>
      <c r="V54" s="1"/>
      <c r="W54" s="1"/>
      <c r="X54" s="1"/>
      <c r="AA54" s="419"/>
      <c r="AB54" s="419"/>
      <c r="AC54" s="419"/>
      <c r="AD54" s="419"/>
      <c r="AE54" s="419"/>
      <c r="AF54" s="419"/>
      <c r="AK54" s="444"/>
      <c r="AL54" s="444"/>
    </row>
    <row r="55" spans="1:38" ht="18" customHeight="1" x14ac:dyDescent="0.2">
      <c r="A55" s="1"/>
      <c r="B55" s="1" t="s">
        <v>699</v>
      </c>
      <c r="C55" s="431"/>
      <c r="D55" s="409">
        <f t="shared" si="21"/>
        <v>0</v>
      </c>
      <c r="E55" s="429"/>
      <c r="F55" s="409">
        <f t="shared" si="22"/>
        <v>0</v>
      </c>
      <c r="G55" s="413">
        <f t="shared" si="23"/>
        <v>0</v>
      </c>
      <c r="H55" s="435"/>
      <c r="I55" s="421">
        <f t="shared" si="24"/>
        <v>0</v>
      </c>
      <c r="J55" s="442"/>
      <c r="K55" s="550">
        <f t="shared" si="25"/>
        <v>0</v>
      </c>
      <c r="L55" s="411">
        <f t="shared" si="26"/>
        <v>0</v>
      </c>
      <c r="M55" s="409">
        <f t="shared" si="27"/>
        <v>0</v>
      </c>
      <c r="N55" s="415">
        <v>0.52</v>
      </c>
      <c r="O55" s="409">
        <f t="shared" si="28"/>
        <v>0</v>
      </c>
      <c r="Q55" s="1"/>
      <c r="R55" s="1"/>
      <c r="S55" s="1"/>
      <c r="T55" s="1"/>
      <c r="U55" s="1"/>
      <c r="V55" s="1"/>
      <c r="W55" s="1"/>
      <c r="X55" s="1"/>
      <c r="AA55" s="419"/>
      <c r="AB55" s="419"/>
      <c r="AC55" s="419"/>
      <c r="AD55" s="419"/>
      <c r="AE55" s="419"/>
      <c r="AF55" s="419"/>
      <c r="AK55" s="444"/>
      <c r="AL55" s="444"/>
    </row>
    <row r="56" spans="1:38" x14ac:dyDescent="0.2">
      <c r="A56" s="1"/>
      <c r="B56" s="1" t="s">
        <v>700</v>
      </c>
      <c r="C56" s="431"/>
      <c r="D56" s="409">
        <f t="shared" si="21"/>
        <v>0</v>
      </c>
      <c r="E56" s="429"/>
      <c r="F56" s="409">
        <f t="shared" si="22"/>
        <v>0</v>
      </c>
      <c r="G56" s="413">
        <f t="shared" si="23"/>
        <v>0</v>
      </c>
      <c r="H56" s="435"/>
      <c r="I56" s="421">
        <f t="shared" si="24"/>
        <v>0</v>
      </c>
      <c r="J56" s="442"/>
      <c r="K56" s="550">
        <f t="shared" si="25"/>
        <v>0</v>
      </c>
      <c r="L56" s="411">
        <f t="shared" si="26"/>
        <v>0</v>
      </c>
      <c r="M56" s="409">
        <f t="shared" si="27"/>
        <v>0</v>
      </c>
      <c r="N56" s="415">
        <v>0.52</v>
      </c>
      <c r="O56" s="409">
        <f t="shared" si="28"/>
        <v>0</v>
      </c>
      <c r="Q56" s="1"/>
      <c r="R56" s="1"/>
      <c r="S56" s="1"/>
      <c r="T56" s="1"/>
      <c r="U56" s="1"/>
      <c r="V56" s="1"/>
      <c r="W56" s="1"/>
      <c r="X56" s="1"/>
      <c r="AA56" s="419"/>
      <c r="AB56" s="419"/>
      <c r="AC56" s="419"/>
      <c r="AD56" s="419"/>
      <c r="AE56" s="419"/>
      <c r="AF56" s="419"/>
      <c r="AK56" s="444"/>
      <c r="AL56" s="444"/>
    </row>
    <row r="57" spans="1:38" ht="18" customHeight="1" x14ac:dyDescent="0.2">
      <c r="A57" s="1"/>
      <c r="B57" s="1" t="s">
        <v>701</v>
      </c>
      <c r="C57" s="431"/>
      <c r="D57" s="409">
        <f t="shared" si="21"/>
        <v>0</v>
      </c>
      <c r="E57" s="435"/>
      <c r="F57" s="409">
        <f t="shared" si="22"/>
        <v>0</v>
      </c>
      <c r="G57" s="413">
        <f t="shared" si="23"/>
        <v>0</v>
      </c>
      <c r="H57" s="435"/>
      <c r="I57" s="421">
        <f t="shared" si="24"/>
        <v>0</v>
      </c>
      <c r="J57" s="442"/>
      <c r="K57" s="550">
        <f t="shared" si="25"/>
        <v>0</v>
      </c>
      <c r="L57" s="411">
        <f t="shared" si="26"/>
        <v>0</v>
      </c>
      <c r="M57" s="409">
        <f t="shared" si="27"/>
        <v>0</v>
      </c>
      <c r="N57" s="415">
        <v>0.52</v>
      </c>
      <c r="O57" s="409">
        <f t="shared" si="28"/>
        <v>0</v>
      </c>
      <c r="Q57" s="1"/>
      <c r="R57" s="1"/>
      <c r="S57" s="1"/>
      <c r="T57" s="1"/>
      <c r="U57" s="1"/>
      <c r="V57" s="1"/>
      <c r="W57" s="1"/>
      <c r="X57" s="1"/>
      <c r="AA57" s="419"/>
      <c r="AB57" s="419"/>
      <c r="AC57" s="419"/>
      <c r="AD57" s="419"/>
      <c r="AE57" s="419"/>
      <c r="AF57" s="419"/>
      <c r="AK57" s="444"/>
      <c r="AL57" s="444"/>
    </row>
    <row r="58" spans="1:38" ht="18" customHeight="1" x14ac:dyDescent="0.2">
      <c r="A58" s="1"/>
      <c r="B58" s="1" t="s">
        <v>702</v>
      </c>
      <c r="C58" s="431"/>
      <c r="D58" s="409">
        <f t="shared" si="21"/>
        <v>0</v>
      </c>
      <c r="E58" s="435"/>
      <c r="F58" s="409">
        <f t="shared" si="22"/>
        <v>0</v>
      </c>
      <c r="G58" s="413">
        <f t="shared" si="23"/>
        <v>0</v>
      </c>
      <c r="H58" s="435"/>
      <c r="I58" s="421">
        <f t="shared" si="24"/>
        <v>0</v>
      </c>
      <c r="J58" s="442"/>
      <c r="K58" s="550">
        <f t="shared" si="25"/>
        <v>0</v>
      </c>
      <c r="L58" s="411">
        <f t="shared" si="26"/>
        <v>0</v>
      </c>
      <c r="M58" s="409">
        <f t="shared" si="27"/>
        <v>0</v>
      </c>
      <c r="N58" s="415">
        <v>0.52</v>
      </c>
      <c r="O58" s="409">
        <f t="shared" si="28"/>
        <v>0</v>
      </c>
      <c r="Q58" s="1"/>
      <c r="R58" s="1"/>
      <c r="S58" s="1"/>
      <c r="T58" s="1"/>
      <c r="U58" s="1"/>
      <c r="V58" s="1"/>
      <c r="W58" s="1"/>
      <c r="X58" s="1"/>
      <c r="AA58" s="419"/>
      <c r="AB58" s="419"/>
      <c r="AC58" s="419"/>
      <c r="AD58" s="419"/>
      <c r="AE58" s="419"/>
      <c r="AF58" s="419"/>
      <c r="AK58" s="444"/>
      <c r="AL58" s="444"/>
    </row>
    <row r="59" spans="1:38" ht="18" customHeight="1" x14ac:dyDescent="0.2">
      <c r="A59" s="1"/>
      <c r="B59" s="1" t="s">
        <v>703</v>
      </c>
      <c r="C59" s="431"/>
      <c r="D59" s="409">
        <f t="shared" si="21"/>
        <v>0</v>
      </c>
      <c r="E59" s="435"/>
      <c r="F59" s="409">
        <f t="shared" si="22"/>
        <v>0</v>
      </c>
      <c r="G59" s="413">
        <f t="shared" si="23"/>
        <v>0</v>
      </c>
      <c r="H59" s="435"/>
      <c r="I59" s="421">
        <f t="shared" si="24"/>
        <v>0</v>
      </c>
      <c r="J59" s="442"/>
      <c r="K59" s="550">
        <f t="shared" si="25"/>
        <v>0</v>
      </c>
      <c r="L59" s="411">
        <f t="shared" si="26"/>
        <v>0</v>
      </c>
      <c r="M59" s="409">
        <f t="shared" si="27"/>
        <v>0</v>
      </c>
      <c r="N59" s="415">
        <v>0.52</v>
      </c>
      <c r="O59" s="409">
        <f t="shared" si="28"/>
        <v>0</v>
      </c>
      <c r="Q59" s="1"/>
      <c r="R59" s="1"/>
      <c r="S59" s="1"/>
      <c r="T59" s="1"/>
      <c r="U59" s="1"/>
      <c r="V59" s="1"/>
      <c r="W59" s="1"/>
      <c r="X59" s="1"/>
      <c r="AA59" s="419"/>
      <c r="AB59" s="419"/>
      <c r="AC59" s="419"/>
      <c r="AD59" s="419"/>
      <c r="AE59" s="419"/>
      <c r="AF59" s="419"/>
      <c r="AK59" s="444"/>
      <c r="AL59" s="444"/>
    </row>
    <row r="60" spans="1:38" ht="18" customHeight="1" thickBot="1" x14ac:dyDescent="0.25">
      <c r="A60" s="1"/>
      <c r="B60" s="1"/>
      <c r="C60" s="1"/>
      <c r="D60" s="1"/>
      <c r="E60" s="439">
        <f>SUMPRODUCT(E54:E59,H54:H59)</f>
        <v>0</v>
      </c>
      <c r="F60" s="1"/>
      <c r="G60" s="1"/>
      <c r="I60" s="1"/>
      <c r="J60" s="1"/>
      <c r="K60" s="1" t="s">
        <v>993</v>
      </c>
      <c r="L60" s="440">
        <f>SUM(L54:L59)</f>
        <v>0</v>
      </c>
      <c r="M60" s="439">
        <f>SUM(M54:M59)</f>
        <v>0</v>
      </c>
      <c r="O60" s="439">
        <f>SUM(O54:O59)</f>
        <v>0</v>
      </c>
      <c r="Q60" s="1"/>
      <c r="R60" s="1"/>
      <c r="S60" s="1"/>
      <c r="T60" s="1"/>
      <c r="U60" s="1"/>
      <c r="V60" s="1"/>
      <c r="W60" s="1"/>
      <c r="X60" s="1"/>
      <c r="AA60" s="419"/>
      <c r="AB60" s="419"/>
      <c r="AC60" s="419"/>
      <c r="AD60" s="419"/>
      <c r="AE60" s="419"/>
      <c r="AF60" s="419"/>
      <c r="AK60" s="444"/>
      <c r="AL60" s="444"/>
    </row>
    <row r="61" spans="1:38" ht="18" customHeight="1" thickTop="1" x14ac:dyDescent="0.2">
      <c r="A61" s="1"/>
      <c r="B61" s="1"/>
      <c r="C61" s="1"/>
      <c r="D61" s="1"/>
      <c r="E61" s="1"/>
      <c r="F61" s="1"/>
      <c r="G61" s="1"/>
      <c r="H61" s="1"/>
      <c r="I61" s="1"/>
      <c r="J61" s="1"/>
      <c r="K61" s="1"/>
      <c r="L61" s="12" t="s">
        <v>562</v>
      </c>
      <c r="M61" s="481">
        <f>F22</f>
        <v>0</v>
      </c>
      <c r="N61" s="1"/>
      <c r="O61" s="481" t="e">
        <f>M61*O60/M60</f>
        <v>#DIV/0!</v>
      </c>
      <c r="P61" s="1"/>
      <c r="Q61" s="1"/>
      <c r="R61" s="1"/>
      <c r="S61" s="1"/>
      <c r="T61" s="1"/>
      <c r="U61" s="1"/>
      <c r="V61" s="1"/>
      <c r="W61" s="1"/>
      <c r="X61" s="1"/>
      <c r="AA61" s="419"/>
      <c r="AB61" s="419"/>
      <c r="AC61" s="419"/>
      <c r="AD61" s="419"/>
      <c r="AE61" s="419"/>
      <c r="AF61" s="419"/>
      <c r="AK61" s="444"/>
      <c r="AL61" s="444"/>
    </row>
    <row r="62" spans="1:38" ht="18" customHeight="1" x14ac:dyDescent="0.25">
      <c r="A62" s="1"/>
      <c r="L62" s="547" t="s">
        <v>381</v>
      </c>
      <c r="M62" s="247">
        <f>M60-M61</f>
        <v>0</v>
      </c>
      <c r="N62" t="s">
        <v>382</v>
      </c>
      <c r="O62" s="247" t="e">
        <f>O60-O61</f>
        <v>#DIV/0!</v>
      </c>
      <c r="P62" s="1" t="s">
        <v>383</v>
      </c>
      <c r="Q62" s="1"/>
      <c r="R62" s="1"/>
      <c r="S62" s="1"/>
      <c r="T62" s="1"/>
      <c r="U62" s="1"/>
      <c r="V62" s="1"/>
      <c r="W62" s="1"/>
      <c r="X62" s="1"/>
      <c r="AA62" s="419"/>
      <c r="AB62" s="419"/>
      <c r="AC62" s="419"/>
      <c r="AD62" s="419"/>
      <c r="AE62" s="419"/>
      <c r="AF62" s="419"/>
      <c r="AK62" s="444"/>
      <c r="AL62" s="444"/>
    </row>
    <row r="63" spans="1:38" ht="18" customHeight="1" x14ac:dyDescent="0.25">
      <c r="A63" s="1"/>
      <c r="B63" s="446"/>
      <c r="L63" s="245"/>
      <c r="M63"/>
      <c r="N63"/>
      <c r="O63"/>
      <c r="P63" s="1"/>
      <c r="Q63" s="1"/>
      <c r="R63" s="1"/>
      <c r="S63" s="1"/>
      <c r="T63" s="1"/>
      <c r="U63" s="1"/>
      <c r="V63" s="1"/>
      <c r="W63" s="1"/>
      <c r="X63" s="1"/>
      <c r="AA63" s="419"/>
      <c r="AB63" s="419"/>
      <c r="AC63" s="419"/>
      <c r="AD63" s="419"/>
      <c r="AE63" s="419"/>
      <c r="AF63" s="419"/>
      <c r="AK63" s="444"/>
      <c r="AL63" s="444"/>
    </row>
    <row r="64" spans="1:38" ht="18" customHeight="1" x14ac:dyDescent="0.25">
      <c r="A64" s="1"/>
      <c r="B64" s="446"/>
      <c r="L64" s="245"/>
      <c r="M64"/>
      <c r="N64"/>
      <c r="O64"/>
      <c r="P64" s="1"/>
      <c r="Q64" s="1"/>
      <c r="R64" s="1"/>
      <c r="S64" s="1"/>
      <c r="T64" s="1"/>
      <c r="U64" s="1"/>
      <c r="V64" s="1"/>
      <c r="W64" s="1"/>
      <c r="X64" s="1"/>
      <c r="AA64" s="419"/>
      <c r="AB64" s="419"/>
      <c r="AC64" s="419"/>
      <c r="AD64" s="419"/>
      <c r="AE64" s="419"/>
      <c r="AF64" s="419"/>
      <c r="AK64" s="444"/>
      <c r="AL64" s="444"/>
    </row>
    <row r="65" spans="1:38" ht="18" customHeight="1" x14ac:dyDescent="0.25">
      <c r="A65" s="1"/>
      <c r="B65" s="446"/>
      <c r="L65" s="245"/>
      <c r="M65"/>
      <c r="N65"/>
      <c r="O65"/>
      <c r="P65" s="1"/>
      <c r="Q65" s="1"/>
      <c r="R65" s="1"/>
      <c r="S65" s="1"/>
      <c r="T65" s="1"/>
      <c r="U65" s="1"/>
      <c r="V65" s="1"/>
      <c r="W65" s="1"/>
      <c r="X65" s="1"/>
      <c r="AA65" s="419"/>
      <c r="AB65" s="419"/>
      <c r="AC65" s="419"/>
      <c r="AD65" s="419"/>
      <c r="AE65" s="419"/>
      <c r="AF65" s="419"/>
      <c r="AK65" s="444"/>
      <c r="AL65" s="444"/>
    </row>
    <row r="66" spans="1:38" ht="18" customHeight="1" x14ac:dyDescent="0.25">
      <c r="A66" s="1"/>
      <c r="B66" s="446" t="s">
        <v>561</v>
      </c>
      <c r="L66" s="245"/>
      <c r="M66"/>
      <c r="N66"/>
      <c r="O66"/>
      <c r="P66" s="1"/>
      <c r="Q66" s="1"/>
      <c r="R66" s="1"/>
      <c r="S66" s="1"/>
      <c r="T66" s="1"/>
      <c r="U66" s="1"/>
      <c r="V66" s="1"/>
      <c r="W66" s="1"/>
      <c r="X66" s="1"/>
      <c r="AA66" s="419"/>
      <c r="AB66" s="419"/>
      <c r="AC66" s="419"/>
      <c r="AD66" s="419"/>
      <c r="AE66" s="419"/>
      <c r="AF66" s="419"/>
      <c r="AK66" s="444"/>
      <c r="AL66" s="444"/>
    </row>
    <row r="67" spans="1:38" ht="18" customHeight="1" x14ac:dyDescent="0.2">
      <c r="A67" s="1"/>
      <c r="M67" s="1"/>
      <c r="N67" s="1"/>
      <c r="O67" s="1"/>
      <c r="P67" s="1"/>
      <c r="Q67" s="1"/>
      <c r="R67" s="1"/>
      <c r="S67" s="1"/>
      <c r="T67" s="1"/>
      <c r="U67" s="1"/>
      <c r="V67" s="1"/>
      <c r="W67" s="1"/>
      <c r="X67" s="1"/>
      <c r="AA67" s="419"/>
      <c r="AB67" s="419"/>
      <c r="AC67" s="419"/>
      <c r="AD67" s="419"/>
      <c r="AE67" s="419"/>
      <c r="AF67" s="419"/>
      <c r="AK67" s="444"/>
      <c r="AL67" s="444"/>
    </row>
    <row r="68" spans="1:38" ht="33" customHeight="1" x14ac:dyDescent="0.2">
      <c r="A68" s="1"/>
      <c r="C68" s="407" t="s">
        <v>709</v>
      </c>
      <c r="D68" s="407" t="s">
        <v>710</v>
      </c>
      <c r="E68" s="407" t="s">
        <v>711</v>
      </c>
      <c r="F68" s="407" t="s">
        <v>712</v>
      </c>
      <c r="G68" s="407" t="s">
        <v>713</v>
      </c>
      <c r="H68" s="407" t="s">
        <v>714</v>
      </c>
      <c r="I68" s="407" t="s">
        <v>715</v>
      </c>
      <c r="J68" s="407" t="s">
        <v>716</v>
      </c>
      <c r="K68" s="407" t="s">
        <v>717</v>
      </c>
      <c r="L68" s="407" t="s">
        <v>718</v>
      </c>
      <c r="M68" s="407" t="s">
        <v>719</v>
      </c>
      <c r="O68" s="1"/>
      <c r="P68" s="1"/>
      <c r="Q68" s="1"/>
      <c r="R68" s="1"/>
      <c r="S68" s="1"/>
      <c r="T68" s="1"/>
      <c r="U68" s="1"/>
      <c r="V68" s="1"/>
      <c r="W68" s="1"/>
      <c r="X68" s="1"/>
      <c r="AA68" s="419"/>
      <c r="AB68" s="419"/>
      <c r="AC68" s="419"/>
      <c r="AD68" s="419"/>
      <c r="AE68" s="419"/>
      <c r="AF68" s="419"/>
      <c r="AK68" s="444"/>
      <c r="AL68" s="444"/>
    </row>
    <row r="69" spans="1:38" ht="18" customHeight="1" x14ac:dyDescent="0.2">
      <c r="A69" s="1"/>
      <c r="B69" s="419" t="str">
        <f t="shared" ref="B69:B74" si="29">B54</f>
        <v>Mob 1</v>
      </c>
      <c r="C69" s="448"/>
      <c r="D69" s="411">
        <f t="shared" ref="D69:D74" si="30">C69*L54</f>
        <v>0</v>
      </c>
      <c r="E69" s="449"/>
      <c r="F69" s="449"/>
      <c r="G69" s="449"/>
      <c r="H69" s="411">
        <f t="shared" ref="H69:H74" si="31">(E69*H54)+(F69*H54)+G69</f>
        <v>0</v>
      </c>
      <c r="I69" s="450"/>
      <c r="J69" s="451"/>
      <c r="K69" s="450"/>
      <c r="L69" s="411">
        <f t="shared" ref="L69:L74" si="32">IF(K69=0,0,IF(H54&lt;=0,0,H54*I69*J69/K69))</f>
        <v>0</v>
      </c>
      <c r="M69" s="433">
        <f t="shared" ref="M69:M74" si="33">IF(L69&lt;=0,0,L69/H54)</f>
        <v>0</v>
      </c>
      <c r="O69" s="1"/>
      <c r="P69" s="1"/>
      <c r="Q69" s="1"/>
      <c r="R69" s="1"/>
      <c r="S69" s="1"/>
      <c r="T69" s="1"/>
      <c r="U69" s="1"/>
      <c r="V69" s="1"/>
      <c r="W69" s="1"/>
      <c r="X69" s="1"/>
      <c r="AA69" s="419"/>
      <c r="AB69" s="419"/>
      <c r="AC69" s="419"/>
      <c r="AD69" s="419"/>
      <c r="AE69" s="419"/>
      <c r="AF69" s="419"/>
      <c r="AK69" s="444"/>
      <c r="AL69" s="444"/>
    </row>
    <row r="70" spans="1:38" ht="18" customHeight="1" x14ac:dyDescent="0.2">
      <c r="A70" s="1"/>
      <c r="B70" s="419" t="str">
        <f t="shared" si="29"/>
        <v>Mob 2</v>
      </c>
      <c r="C70" s="448"/>
      <c r="D70" s="411">
        <f t="shared" si="30"/>
        <v>0</v>
      </c>
      <c r="E70" s="449"/>
      <c r="F70" s="449"/>
      <c r="G70" s="449"/>
      <c r="H70" s="411">
        <f t="shared" si="31"/>
        <v>0</v>
      </c>
      <c r="I70" s="450"/>
      <c r="J70" s="451"/>
      <c r="K70" s="450"/>
      <c r="L70" s="411">
        <f t="shared" si="32"/>
        <v>0</v>
      </c>
      <c r="M70" s="433">
        <f t="shared" si="33"/>
        <v>0</v>
      </c>
      <c r="O70" s="1"/>
      <c r="P70" s="1"/>
      <c r="Q70" s="1"/>
      <c r="R70" s="1"/>
      <c r="S70" s="1"/>
      <c r="T70" s="1"/>
      <c r="U70" s="1"/>
      <c r="V70" s="1"/>
      <c r="W70" s="1"/>
      <c r="X70" s="1"/>
      <c r="AA70" s="419"/>
      <c r="AB70" s="419"/>
      <c r="AC70" s="419"/>
      <c r="AD70" s="419"/>
      <c r="AE70" s="419"/>
      <c r="AF70" s="419"/>
      <c r="AK70" s="444"/>
      <c r="AL70" s="444"/>
    </row>
    <row r="71" spans="1:38" ht="18" customHeight="1" x14ac:dyDescent="0.2">
      <c r="A71" s="1"/>
      <c r="B71" s="419" t="str">
        <f t="shared" si="29"/>
        <v>Mob 3</v>
      </c>
      <c r="C71" s="448"/>
      <c r="D71" s="411">
        <f t="shared" si="30"/>
        <v>0</v>
      </c>
      <c r="E71" s="449"/>
      <c r="F71" s="449"/>
      <c r="G71" s="449"/>
      <c r="H71" s="411">
        <f t="shared" si="31"/>
        <v>0</v>
      </c>
      <c r="I71" s="450"/>
      <c r="J71" s="451"/>
      <c r="K71" s="450"/>
      <c r="L71" s="411">
        <f t="shared" si="32"/>
        <v>0</v>
      </c>
      <c r="M71" s="433">
        <f t="shared" si="33"/>
        <v>0</v>
      </c>
      <c r="O71" s="1"/>
      <c r="P71" s="1"/>
      <c r="Q71" s="1"/>
      <c r="R71" s="1"/>
      <c r="S71" s="1"/>
      <c r="T71" s="1"/>
      <c r="U71" s="1"/>
      <c r="V71" s="1"/>
      <c r="W71" s="1"/>
      <c r="X71" s="1"/>
      <c r="AI71" s="444"/>
      <c r="AJ71" s="444"/>
      <c r="AK71" s="444"/>
      <c r="AL71" s="444"/>
    </row>
    <row r="72" spans="1:38" ht="18" customHeight="1" x14ac:dyDescent="0.2">
      <c r="A72" s="1"/>
      <c r="B72" s="419" t="str">
        <f t="shared" si="29"/>
        <v>Mob 4</v>
      </c>
      <c r="C72" s="448"/>
      <c r="D72" s="411">
        <f t="shared" si="30"/>
        <v>0</v>
      </c>
      <c r="E72" s="449"/>
      <c r="F72" s="449"/>
      <c r="G72" s="449"/>
      <c r="H72" s="411">
        <f t="shared" si="31"/>
        <v>0</v>
      </c>
      <c r="I72" s="450"/>
      <c r="J72" s="451"/>
      <c r="K72" s="450"/>
      <c r="L72" s="411">
        <f t="shared" si="32"/>
        <v>0</v>
      </c>
      <c r="M72" s="433">
        <f t="shared" si="33"/>
        <v>0</v>
      </c>
      <c r="O72" s="1"/>
      <c r="P72" s="1"/>
      <c r="Q72" s="1"/>
      <c r="R72" s="1"/>
      <c r="S72" s="1"/>
      <c r="T72" s="1"/>
      <c r="U72" s="1"/>
      <c r="V72" s="1"/>
      <c r="W72" s="1"/>
      <c r="X72" s="1"/>
      <c r="AI72" s="444"/>
      <c r="AJ72" s="444"/>
      <c r="AK72" s="444"/>
      <c r="AL72" s="444"/>
    </row>
    <row r="73" spans="1:38" ht="18" customHeight="1" x14ac:dyDescent="0.2">
      <c r="A73" s="1"/>
      <c r="B73" s="419" t="str">
        <f t="shared" si="29"/>
        <v>Mob 5</v>
      </c>
      <c r="C73" s="448"/>
      <c r="D73" s="411">
        <f t="shared" si="30"/>
        <v>0</v>
      </c>
      <c r="E73" s="449"/>
      <c r="F73" s="449"/>
      <c r="G73" s="449"/>
      <c r="H73" s="411">
        <f t="shared" si="31"/>
        <v>0</v>
      </c>
      <c r="I73" s="450"/>
      <c r="J73" s="451"/>
      <c r="K73" s="450"/>
      <c r="L73" s="411">
        <f t="shared" si="32"/>
        <v>0</v>
      </c>
      <c r="M73" s="433">
        <f t="shared" si="33"/>
        <v>0</v>
      </c>
      <c r="O73" s="1"/>
      <c r="P73" s="1"/>
      <c r="Q73" s="1"/>
      <c r="R73" s="1"/>
      <c r="S73" s="1"/>
      <c r="T73" s="1"/>
      <c r="U73" s="1"/>
      <c r="V73" s="1"/>
      <c r="W73" s="1"/>
      <c r="X73" s="1"/>
      <c r="Y73"/>
      <c r="Z73"/>
      <c r="AA73"/>
      <c r="AB73"/>
      <c r="AC73"/>
      <c r="AD73"/>
      <c r="AE73"/>
      <c r="AF73"/>
      <c r="AI73" s="444"/>
      <c r="AJ73" s="444"/>
      <c r="AK73" s="444"/>
      <c r="AL73" s="444"/>
    </row>
    <row r="74" spans="1:38" ht="18" customHeight="1" x14ac:dyDescent="0.2">
      <c r="A74" s="1"/>
      <c r="B74" s="419" t="str">
        <f t="shared" si="29"/>
        <v>Mob 6</v>
      </c>
      <c r="C74" s="448"/>
      <c r="D74" s="411">
        <f t="shared" si="30"/>
        <v>0</v>
      </c>
      <c r="E74" s="449"/>
      <c r="F74" s="449"/>
      <c r="G74" s="449"/>
      <c r="H74" s="411">
        <f t="shared" si="31"/>
        <v>0</v>
      </c>
      <c r="I74" s="450"/>
      <c r="J74" s="451"/>
      <c r="K74" s="450"/>
      <c r="L74" s="411">
        <f t="shared" si="32"/>
        <v>0</v>
      </c>
      <c r="M74" s="433">
        <f t="shared" si="33"/>
        <v>0</v>
      </c>
      <c r="O74" s="1"/>
      <c r="P74" s="1"/>
      <c r="Q74" s="1"/>
      <c r="R74" s="1"/>
      <c r="S74" s="1"/>
      <c r="T74" s="1"/>
      <c r="U74" s="1"/>
      <c r="V74" s="1"/>
      <c r="W74" s="1"/>
      <c r="X74" s="1"/>
      <c r="Y74"/>
      <c r="Z74"/>
      <c r="AA74"/>
      <c r="AB74"/>
      <c r="AC74"/>
      <c r="AD74"/>
      <c r="AE74"/>
      <c r="AF74"/>
      <c r="AI74" s="444"/>
      <c r="AJ74" s="444"/>
      <c r="AK74" s="444"/>
      <c r="AL74" s="444"/>
    </row>
    <row r="75" spans="1:38" ht="18" customHeight="1" thickBot="1" x14ac:dyDescent="0.25">
      <c r="A75" s="1"/>
      <c r="C75" s="1"/>
      <c r="D75" s="440">
        <f>SUM(D69:D74)</f>
        <v>0</v>
      </c>
      <c r="E75" s="1"/>
      <c r="F75" s="1"/>
      <c r="G75" s="1"/>
      <c r="H75" s="440">
        <f>SUM(H69:H74)</f>
        <v>0</v>
      </c>
      <c r="I75" s="1"/>
      <c r="J75" s="1"/>
      <c r="K75" s="1"/>
      <c r="L75" s="440">
        <f>SUM(L69:L74)</f>
        <v>0</v>
      </c>
      <c r="M75" s="1"/>
      <c r="O75" s="1"/>
      <c r="P75" s="1"/>
      <c r="Q75" s="1"/>
      <c r="R75" s="1"/>
      <c r="S75" s="1"/>
      <c r="T75" s="1"/>
      <c r="U75" s="1"/>
      <c r="V75" s="1"/>
      <c r="W75" s="1"/>
      <c r="X75" s="1"/>
      <c r="Y75"/>
      <c r="Z75"/>
      <c r="AA75"/>
      <c r="AB75"/>
      <c r="AC75"/>
      <c r="AD75"/>
      <c r="AE75"/>
      <c r="AF75"/>
      <c r="AI75" s="444"/>
      <c r="AJ75" s="444"/>
      <c r="AK75" s="444"/>
      <c r="AL75" s="444"/>
    </row>
    <row r="76" spans="1:38" ht="18" customHeight="1" thickTop="1" x14ac:dyDescent="0.2">
      <c r="A76" s="1"/>
      <c r="B76" s="1"/>
      <c r="C76" s="1"/>
      <c r="D76" s="1"/>
      <c r="E76" s="1"/>
      <c r="F76" s="1"/>
      <c r="G76" s="1"/>
      <c r="H76" s="1"/>
      <c r="I76" s="1"/>
      <c r="J76" s="1"/>
      <c r="K76" s="1"/>
      <c r="L76" s="1"/>
      <c r="M76" s="1"/>
      <c r="N76" s="1"/>
      <c r="O76" s="1"/>
      <c r="P76" s="1"/>
      <c r="Q76" s="1"/>
      <c r="R76" s="1"/>
      <c r="S76" s="1"/>
      <c r="T76" s="1"/>
      <c r="U76" s="1"/>
      <c r="V76" s="1"/>
      <c r="W76" s="1"/>
      <c r="X76" s="1"/>
      <c r="Y76"/>
      <c r="Z76"/>
      <c r="AA76"/>
      <c r="AB76"/>
      <c r="AC76"/>
      <c r="AD76"/>
      <c r="AE76"/>
      <c r="AF76"/>
      <c r="AI76" s="444"/>
      <c r="AJ76" s="444"/>
      <c r="AK76" s="444"/>
      <c r="AL76" s="444"/>
    </row>
    <row r="77" spans="1:38" ht="18" customHeight="1" x14ac:dyDescent="0.2">
      <c r="A77" s="1"/>
      <c r="L77" s="1"/>
      <c r="M77" s="1"/>
      <c r="N77" s="1"/>
      <c r="O77" s="1"/>
      <c r="P77" s="1"/>
      <c r="Q77" s="1"/>
      <c r="R77" s="1"/>
      <c r="S77" s="1"/>
      <c r="T77" s="1"/>
      <c r="U77" s="1"/>
      <c r="V77" s="1"/>
      <c r="W77" s="1"/>
      <c r="X77" s="1"/>
      <c r="Y77"/>
      <c r="Z77"/>
      <c r="AA77"/>
      <c r="AB77"/>
      <c r="AC77"/>
      <c r="AD77"/>
      <c r="AE77"/>
      <c r="AF77"/>
      <c r="AI77" s="444"/>
      <c r="AJ77" s="444"/>
      <c r="AK77" s="444"/>
      <c r="AL77" s="444"/>
    </row>
    <row r="78" spans="1:38" ht="18" customHeight="1" x14ac:dyDescent="0.2">
      <c r="A78" s="1"/>
      <c r="B78" s="1"/>
      <c r="C78" s="1"/>
      <c r="D78" s="1"/>
      <c r="E78" s="1"/>
      <c r="F78" s="1"/>
      <c r="G78" s="1"/>
      <c r="H78" s="1"/>
      <c r="I78" s="1"/>
      <c r="J78" s="1"/>
      <c r="K78" s="1"/>
      <c r="L78" s="1"/>
      <c r="M78" s="1"/>
      <c r="N78" s="1"/>
      <c r="O78" s="1"/>
      <c r="P78" s="1"/>
      <c r="Q78" s="1"/>
      <c r="R78" s="1"/>
      <c r="S78" s="1"/>
      <c r="T78" s="1"/>
      <c r="U78" s="1"/>
      <c r="V78" s="1"/>
      <c r="W78" s="1"/>
      <c r="X78" s="1"/>
      <c r="AA78" s="419"/>
      <c r="AB78" s="419"/>
      <c r="AC78" s="419"/>
      <c r="AD78" s="419"/>
      <c r="AE78" s="419"/>
      <c r="AF78" s="419"/>
      <c r="AI78" s="444"/>
      <c r="AJ78" s="444"/>
      <c r="AK78" s="444"/>
      <c r="AL78" s="444"/>
    </row>
    <row r="79" spans="1:38" ht="18" customHeight="1" x14ac:dyDescent="0.25">
      <c r="A79" s="1"/>
      <c r="B79" s="5" t="s">
        <v>396</v>
      </c>
      <c r="C79" s="1"/>
      <c r="D79" s="1"/>
      <c r="E79" s="1"/>
      <c r="F79" s="1"/>
      <c r="G79" s="1"/>
      <c r="H79" s="1"/>
      <c r="I79" s="1"/>
      <c r="J79" s="1"/>
      <c r="K79" s="1"/>
      <c r="L79" s="1"/>
      <c r="M79" s="1"/>
      <c r="N79" s="1"/>
      <c r="O79" s="1"/>
      <c r="P79" s="1"/>
      <c r="Q79" s="1"/>
      <c r="R79" s="1"/>
      <c r="S79" s="1"/>
      <c r="T79" s="1"/>
      <c r="U79" s="1"/>
      <c r="V79" s="1"/>
      <c r="W79" s="1"/>
      <c r="X79" s="1"/>
      <c r="AA79" s="419"/>
      <c r="AB79" s="419"/>
      <c r="AC79" s="419"/>
      <c r="AD79" s="419"/>
      <c r="AE79" s="419"/>
      <c r="AF79" s="419"/>
      <c r="AI79" s="444"/>
      <c r="AJ79" s="444"/>
      <c r="AK79" s="444"/>
      <c r="AL79" s="444"/>
    </row>
    <row r="80" spans="1:38" x14ac:dyDescent="0.2">
      <c r="A80" s="1"/>
      <c r="B80" s="1"/>
      <c r="C80" s="1"/>
      <c r="D80" s="1"/>
      <c r="E80" s="1"/>
      <c r="F80" s="1"/>
      <c r="G80" s="1"/>
      <c r="H80" s="1"/>
      <c r="I80" s="1"/>
      <c r="J80" s="1"/>
      <c r="K80" s="1"/>
      <c r="L80" s="1"/>
      <c r="M80" s="1"/>
      <c r="N80" s="1"/>
      <c r="O80" s="1"/>
      <c r="P80" s="1"/>
      <c r="Q80" s="1"/>
      <c r="R80" s="1"/>
      <c r="S80" s="1"/>
      <c r="T80" s="1"/>
      <c r="U80" s="1"/>
      <c r="V80" s="1"/>
      <c r="W80" s="1"/>
      <c r="X80" s="1"/>
      <c r="AA80" s="419"/>
      <c r="AB80" s="419"/>
      <c r="AC80" s="419"/>
      <c r="AD80" s="419"/>
      <c r="AE80" s="419"/>
      <c r="AF80" s="419"/>
      <c r="AI80" s="444"/>
      <c r="AJ80" s="444"/>
      <c r="AK80" s="444"/>
      <c r="AL80" s="444"/>
    </row>
    <row r="81" spans="1:32" ht="33" customHeight="1" x14ac:dyDescent="0.2">
      <c r="A81" s="1"/>
      <c r="B81" s="1"/>
      <c r="C81" s="408" t="s">
        <v>892</v>
      </c>
      <c r="D81" s="408" t="s">
        <v>721</v>
      </c>
      <c r="E81" s="408" t="s">
        <v>722</v>
      </c>
      <c r="F81" s="408" t="s">
        <v>723</v>
      </c>
      <c r="G81" s="408" t="s">
        <v>724</v>
      </c>
      <c r="H81" s="408" t="s">
        <v>725</v>
      </c>
      <c r="I81" s="1"/>
      <c r="J81" s="1"/>
      <c r="K81" s="1"/>
      <c r="L81" s="1"/>
      <c r="M81" s="1"/>
      <c r="N81" s="1"/>
      <c r="O81" s="1"/>
      <c r="P81" s="1"/>
      <c r="Q81" s="1"/>
      <c r="R81" s="1"/>
      <c r="S81" s="1"/>
      <c r="T81" s="1"/>
      <c r="U81" s="1"/>
      <c r="V81" s="1"/>
      <c r="W81" s="1"/>
      <c r="X81" s="1"/>
      <c r="AA81" s="419"/>
      <c r="AB81" s="419"/>
      <c r="AC81" s="419"/>
      <c r="AD81" s="419"/>
      <c r="AE81" s="419"/>
      <c r="AF81" s="419"/>
    </row>
    <row r="82" spans="1:32" x14ac:dyDescent="0.2">
      <c r="A82" s="1"/>
      <c r="B82" s="1" t="s">
        <v>698</v>
      </c>
      <c r="C82" s="409">
        <f t="shared" ref="C82:C87" si="34">C41</f>
        <v>0</v>
      </c>
      <c r="D82" s="409">
        <f t="shared" ref="D82:D87" si="35">D54</f>
        <v>0</v>
      </c>
      <c r="E82" s="411">
        <f t="shared" ref="E82:E87" si="36">G16</f>
        <v>0</v>
      </c>
      <c r="F82" s="411">
        <f t="shared" ref="F82:F87" si="37">E82*C82</f>
        <v>0</v>
      </c>
      <c r="G82" s="452">
        <v>0.05</v>
      </c>
      <c r="H82" s="411">
        <f t="shared" ref="H82:H87" si="38">F82*G82*D82/365</f>
        <v>0</v>
      </c>
      <c r="I82" s="1"/>
      <c r="J82" s="1"/>
      <c r="K82" s="1"/>
      <c r="L82" s="1"/>
      <c r="M82" s="1"/>
      <c r="N82" s="1"/>
      <c r="O82" s="1"/>
      <c r="P82" s="1"/>
      <c r="Q82" s="1"/>
      <c r="R82" s="1"/>
      <c r="S82" s="1"/>
      <c r="T82" s="1"/>
      <c r="U82" s="1"/>
      <c r="V82" s="1"/>
      <c r="W82" s="1"/>
      <c r="X82" s="1"/>
      <c r="AA82" s="419"/>
      <c r="AB82" s="419"/>
      <c r="AC82" s="419"/>
      <c r="AD82" s="419"/>
      <c r="AE82" s="419"/>
      <c r="AF82" s="419"/>
    </row>
    <row r="83" spans="1:32" x14ac:dyDescent="0.2">
      <c r="A83" s="1"/>
      <c r="B83" s="1" t="s">
        <v>699</v>
      </c>
      <c r="C83" s="409">
        <f t="shared" si="34"/>
        <v>0</v>
      </c>
      <c r="D83" s="409">
        <f t="shared" si="35"/>
        <v>0</v>
      </c>
      <c r="E83" s="411">
        <f t="shared" si="36"/>
        <v>0</v>
      </c>
      <c r="F83" s="411">
        <f t="shared" si="37"/>
        <v>0</v>
      </c>
      <c r="G83" s="452">
        <v>0.05</v>
      </c>
      <c r="H83" s="411">
        <f t="shared" si="38"/>
        <v>0</v>
      </c>
      <c r="I83" s="1"/>
      <c r="J83" s="1"/>
      <c r="K83" s="1"/>
      <c r="L83" s="1"/>
      <c r="M83" s="1"/>
      <c r="N83" s="1"/>
      <c r="O83" s="1"/>
      <c r="P83" s="1"/>
      <c r="Q83" s="1"/>
      <c r="R83" s="1"/>
      <c r="S83" s="1"/>
      <c r="T83" s="1"/>
      <c r="U83" s="1"/>
      <c r="V83" s="1"/>
      <c r="W83" s="1"/>
      <c r="X83" s="1"/>
      <c r="AA83" s="419"/>
      <c r="AB83" s="419"/>
      <c r="AC83" s="419"/>
      <c r="AD83" s="419"/>
      <c r="AE83" s="419"/>
      <c r="AF83" s="419"/>
    </row>
    <row r="84" spans="1:32" x14ac:dyDescent="0.2">
      <c r="A84" s="1"/>
      <c r="B84" s="1" t="s">
        <v>700</v>
      </c>
      <c r="C84" s="409">
        <f t="shared" si="34"/>
        <v>0</v>
      </c>
      <c r="D84" s="409">
        <f t="shared" si="35"/>
        <v>0</v>
      </c>
      <c r="E84" s="411">
        <f t="shared" si="36"/>
        <v>0</v>
      </c>
      <c r="F84" s="411">
        <f t="shared" si="37"/>
        <v>0</v>
      </c>
      <c r="G84" s="452">
        <v>0.05</v>
      </c>
      <c r="H84" s="411">
        <f t="shared" si="38"/>
        <v>0</v>
      </c>
      <c r="I84" s="1"/>
      <c r="J84" s="1"/>
      <c r="K84" s="1"/>
      <c r="L84" s="1"/>
      <c r="M84" s="1"/>
      <c r="N84" s="1"/>
      <c r="O84" s="1"/>
      <c r="P84" s="1"/>
      <c r="Q84" s="1"/>
      <c r="R84" s="1"/>
      <c r="S84" s="1"/>
      <c r="T84" s="1"/>
      <c r="U84" s="1"/>
      <c r="V84" s="1"/>
      <c r="W84" s="1"/>
      <c r="X84" s="1"/>
      <c r="AA84" s="419"/>
      <c r="AB84" s="419"/>
      <c r="AC84" s="419"/>
      <c r="AD84" s="419"/>
      <c r="AE84" s="419"/>
      <c r="AF84" s="419"/>
    </row>
    <row r="85" spans="1:32" x14ac:dyDescent="0.2">
      <c r="A85" s="1"/>
      <c r="B85" s="1" t="s">
        <v>701</v>
      </c>
      <c r="C85" s="409">
        <f t="shared" si="34"/>
        <v>0</v>
      </c>
      <c r="D85" s="409">
        <f t="shared" si="35"/>
        <v>0</v>
      </c>
      <c r="E85" s="411">
        <f t="shared" si="36"/>
        <v>0</v>
      </c>
      <c r="F85" s="411">
        <f t="shared" si="37"/>
        <v>0</v>
      </c>
      <c r="G85" s="452">
        <v>0.05</v>
      </c>
      <c r="H85" s="411">
        <f t="shared" si="38"/>
        <v>0</v>
      </c>
      <c r="I85" s="1"/>
      <c r="J85" s="1"/>
      <c r="K85" s="1"/>
      <c r="L85" s="1"/>
      <c r="M85" s="1"/>
      <c r="N85" s="1"/>
      <c r="O85" s="1"/>
      <c r="P85" s="1"/>
      <c r="Q85" s="1"/>
      <c r="R85" s="1"/>
      <c r="S85" s="1"/>
      <c r="T85" s="1"/>
      <c r="U85" s="1"/>
      <c r="V85" s="1"/>
      <c r="W85" s="1"/>
      <c r="X85" s="1"/>
      <c r="AA85" s="419"/>
      <c r="AB85" s="419"/>
      <c r="AC85" s="419"/>
      <c r="AD85" s="419"/>
      <c r="AE85" s="419"/>
      <c r="AF85" s="419"/>
    </row>
    <row r="86" spans="1:32" x14ac:dyDescent="0.2">
      <c r="A86" s="1"/>
      <c r="B86" s="1" t="s">
        <v>702</v>
      </c>
      <c r="C86" s="409">
        <f t="shared" si="34"/>
        <v>0</v>
      </c>
      <c r="D86" s="409">
        <f t="shared" si="35"/>
        <v>0</v>
      </c>
      <c r="E86" s="411">
        <f t="shared" si="36"/>
        <v>0</v>
      </c>
      <c r="F86" s="411">
        <f t="shared" si="37"/>
        <v>0</v>
      </c>
      <c r="G86" s="452">
        <v>0.05</v>
      </c>
      <c r="H86" s="411">
        <f t="shared" si="38"/>
        <v>0</v>
      </c>
      <c r="I86" s="1"/>
      <c r="J86" s="1"/>
      <c r="K86" s="1"/>
      <c r="L86" s="1"/>
      <c r="M86" s="1"/>
      <c r="N86" s="1"/>
      <c r="O86" s="1"/>
      <c r="P86" s="1"/>
      <c r="Q86" s="1"/>
      <c r="R86" s="1"/>
      <c r="S86" s="1"/>
      <c r="T86" s="1"/>
      <c r="U86" s="1"/>
      <c r="V86" s="1"/>
      <c r="W86" s="1"/>
      <c r="X86" s="1"/>
      <c r="AA86" s="419"/>
      <c r="AB86" s="419"/>
      <c r="AC86" s="419"/>
      <c r="AD86" s="419"/>
      <c r="AE86" s="419"/>
      <c r="AF86" s="419"/>
    </row>
    <row r="87" spans="1:32" x14ac:dyDescent="0.2">
      <c r="A87" s="1"/>
      <c r="B87" s="1" t="s">
        <v>703</v>
      </c>
      <c r="C87" s="409">
        <f t="shared" si="34"/>
        <v>0</v>
      </c>
      <c r="D87" s="409">
        <f t="shared" si="35"/>
        <v>0</v>
      </c>
      <c r="E87" s="411">
        <f t="shared" si="36"/>
        <v>0</v>
      </c>
      <c r="F87" s="411">
        <f t="shared" si="37"/>
        <v>0</v>
      </c>
      <c r="G87" s="452">
        <v>0.05</v>
      </c>
      <c r="H87" s="411">
        <f t="shared" si="38"/>
        <v>0</v>
      </c>
      <c r="I87" s="1"/>
      <c r="J87" s="1"/>
      <c r="K87" s="1"/>
      <c r="L87" s="1"/>
      <c r="M87" s="1"/>
      <c r="N87" s="1"/>
      <c r="O87" s="1"/>
      <c r="P87" s="1"/>
      <c r="Q87" s="1"/>
      <c r="R87" s="1"/>
      <c r="S87" s="1"/>
      <c r="T87" s="1"/>
      <c r="U87" s="1"/>
      <c r="V87" s="1"/>
      <c r="W87" s="1"/>
      <c r="X87" s="1"/>
      <c r="AA87" s="419"/>
      <c r="AB87" s="419"/>
      <c r="AC87" s="419"/>
      <c r="AD87" s="419"/>
      <c r="AE87" s="419"/>
      <c r="AF87" s="419"/>
    </row>
    <row r="88" spans="1:32" ht="15.75" thickBot="1" x14ac:dyDescent="0.25">
      <c r="A88" s="1"/>
      <c r="B88" s="1"/>
      <c r="C88" s="1"/>
      <c r="D88" s="1"/>
      <c r="E88" s="1"/>
      <c r="F88" s="1" t="s">
        <v>726</v>
      </c>
      <c r="G88" s="1"/>
      <c r="H88" s="440">
        <f>SUM(H82:H87)</f>
        <v>0</v>
      </c>
      <c r="I88" s="1"/>
      <c r="J88" s="1"/>
      <c r="K88" s="1"/>
      <c r="L88" s="1"/>
      <c r="M88" s="1"/>
      <c r="N88" s="1"/>
      <c r="O88" s="1"/>
      <c r="P88" s="1"/>
      <c r="Q88" s="1"/>
      <c r="R88" s="1"/>
      <c r="S88" s="1"/>
      <c r="T88" s="1"/>
      <c r="U88" s="1"/>
      <c r="V88" s="1"/>
      <c r="W88" s="1"/>
      <c r="X88" s="1"/>
      <c r="Y88" s="1"/>
      <c r="Z88" s="1"/>
      <c r="AA88" s="6"/>
    </row>
    <row r="89" spans="1:32" ht="15.75" thickTop="1" x14ac:dyDescent="0.2">
      <c r="A89" s="1"/>
      <c r="B89" s="1"/>
      <c r="C89" s="1"/>
      <c r="D89" s="1"/>
      <c r="E89" s="1"/>
      <c r="F89" s="1"/>
      <c r="G89" s="1"/>
      <c r="H89" s="1"/>
      <c r="I89" s="1"/>
      <c r="J89" s="1"/>
      <c r="K89" s="1"/>
      <c r="L89" s="1"/>
      <c r="M89" s="1"/>
      <c r="N89" s="1"/>
      <c r="O89" s="1"/>
      <c r="P89" s="1"/>
      <c r="Q89" s="1"/>
      <c r="R89" s="1"/>
      <c r="S89" s="1"/>
      <c r="T89" s="1"/>
      <c r="U89" s="1"/>
      <c r="V89" s="1"/>
      <c r="W89" s="1"/>
      <c r="X89" s="1"/>
      <c r="Y89" s="1"/>
      <c r="Z89" s="1"/>
      <c r="AA89" s="6"/>
    </row>
    <row r="90" spans="1:32" x14ac:dyDescent="0.2">
      <c r="A90" s="1"/>
      <c r="B90" s="1"/>
      <c r="C90" s="1"/>
      <c r="D90" s="1"/>
      <c r="E90" s="1"/>
      <c r="F90" s="1"/>
      <c r="G90" s="1"/>
      <c r="H90" s="1"/>
      <c r="I90" s="1"/>
      <c r="J90" s="1"/>
      <c r="K90" s="1"/>
      <c r="L90" s="1"/>
      <c r="M90" s="1"/>
      <c r="N90" s="1"/>
      <c r="O90" s="1"/>
      <c r="P90" s="1"/>
      <c r="Q90" s="1"/>
      <c r="R90" s="1"/>
      <c r="S90" s="1"/>
      <c r="T90" s="1"/>
      <c r="U90" s="1"/>
      <c r="V90" s="1"/>
      <c r="W90" s="1"/>
      <c r="X90" s="1"/>
      <c r="Y90" s="1"/>
      <c r="Z90" s="1"/>
      <c r="AA90" s="6"/>
    </row>
    <row r="91" spans="1:32" ht="15.75" x14ac:dyDescent="0.25">
      <c r="A91" s="1"/>
      <c r="B91" s="5" t="s">
        <v>727</v>
      </c>
      <c r="C91" s="1"/>
      <c r="D91" s="1"/>
      <c r="E91" s="1"/>
      <c r="F91" s="1"/>
      <c r="G91" s="1"/>
      <c r="H91" s="1"/>
      <c r="I91" s="1"/>
      <c r="J91" s="1"/>
      <c r="K91" s="1"/>
      <c r="L91" s="1"/>
      <c r="M91" s="1"/>
      <c r="N91" s="1"/>
      <c r="O91" s="1"/>
      <c r="P91" s="1"/>
      <c r="Q91" s="1"/>
      <c r="R91" s="1"/>
      <c r="S91" s="1"/>
      <c r="T91" s="1"/>
      <c r="U91" s="1"/>
      <c r="V91" s="1"/>
      <c r="W91" s="1"/>
      <c r="X91" s="1"/>
      <c r="Y91" s="1"/>
      <c r="Z91" s="1"/>
      <c r="AA91" s="6"/>
    </row>
    <row r="92" spans="1:32" x14ac:dyDescent="0.2">
      <c r="A92" s="1"/>
      <c r="B92" s="1"/>
      <c r="C92" s="1"/>
      <c r="D92" s="1"/>
      <c r="E92" s="1"/>
      <c r="F92" s="1"/>
      <c r="G92" s="1"/>
      <c r="H92" s="1"/>
      <c r="I92" s="1"/>
      <c r="J92" s="1"/>
      <c r="K92" s="1"/>
      <c r="L92" s="1"/>
      <c r="M92" s="1"/>
      <c r="N92" s="1"/>
      <c r="O92" s="1"/>
      <c r="P92" s="1"/>
      <c r="Q92" s="1"/>
      <c r="R92" s="1"/>
      <c r="S92" s="1"/>
      <c r="T92" s="1"/>
      <c r="U92" s="1"/>
      <c r="V92" s="1"/>
      <c r="W92" s="1"/>
      <c r="X92" s="1"/>
      <c r="Y92" s="1"/>
      <c r="Z92" s="1"/>
      <c r="AA92" s="6"/>
    </row>
    <row r="93" spans="1:32" ht="30" x14ac:dyDescent="0.2">
      <c r="A93" s="1"/>
      <c r="B93" s="1"/>
      <c r="C93" s="408" t="s">
        <v>892</v>
      </c>
      <c r="D93" s="408" t="s">
        <v>721</v>
      </c>
      <c r="E93" s="408" t="s">
        <v>728</v>
      </c>
      <c r="F93" s="408" t="s">
        <v>895</v>
      </c>
      <c r="G93" s="408" t="s">
        <v>673</v>
      </c>
      <c r="H93" s="408" t="s">
        <v>731</v>
      </c>
      <c r="I93" s="407" t="s">
        <v>659</v>
      </c>
      <c r="J93" s="407" t="s">
        <v>729</v>
      </c>
      <c r="K93" s="1"/>
      <c r="L93" s="1"/>
      <c r="M93" s="1"/>
      <c r="N93" s="1"/>
      <c r="O93" s="1"/>
      <c r="P93" s="1"/>
      <c r="Q93" s="1"/>
      <c r="R93" s="1"/>
      <c r="S93" s="1"/>
      <c r="T93" s="1"/>
      <c r="U93" s="1"/>
      <c r="V93" s="1"/>
      <c r="W93" s="1"/>
      <c r="X93" s="1"/>
      <c r="Y93" s="1"/>
      <c r="Z93" s="1"/>
      <c r="AA93" s="6"/>
    </row>
    <row r="94" spans="1:32" x14ac:dyDescent="0.2">
      <c r="A94" s="1"/>
      <c r="B94" s="1" t="s">
        <v>698</v>
      </c>
      <c r="C94" s="409">
        <f t="shared" ref="C94:C99" si="39">C41</f>
        <v>0</v>
      </c>
      <c r="D94" s="409">
        <f t="shared" ref="D94:D99" si="40">D54</f>
        <v>0</v>
      </c>
      <c r="E94" s="409">
        <f t="shared" ref="E94:E99" si="41">F16</f>
        <v>0</v>
      </c>
      <c r="F94" s="409">
        <f t="shared" ref="F94:F99" si="42">E54</f>
        <v>0</v>
      </c>
      <c r="G94" s="413">
        <f t="shared" ref="G94:G99" si="43">(POWER(((F94+E94)/2),0.75)/97.7)</f>
        <v>0</v>
      </c>
      <c r="H94" s="413">
        <f t="shared" ref="H94:H99" si="44">D94/365*G94*C94</f>
        <v>0</v>
      </c>
      <c r="I94" s="413">
        <f>IF(D8&lt;=0,0,H94/$D$8)</f>
        <v>0</v>
      </c>
      <c r="J94" s="413">
        <f t="shared" ref="J94:J100" si="45">IF(H94&lt;=0,0,$D$8/H94)</f>
        <v>0</v>
      </c>
      <c r="K94" s="1"/>
      <c r="L94" s="1"/>
      <c r="M94" s="1"/>
      <c r="N94" s="1"/>
      <c r="O94" s="1"/>
      <c r="P94" s="1"/>
      <c r="Q94" s="1"/>
      <c r="R94" s="1"/>
      <c r="S94" s="1"/>
      <c r="T94" s="1"/>
      <c r="U94" s="1"/>
      <c r="V94" s="1"/>
      <c r="W94" s="1"/>
      <c r="X94" s="1"/>
      <c r="Y94" s="1"/>
      <c r="Z94" s="1"/>
      <c r="AA94" s="6"/>
    </row>
    <row r="95" spans="1:32" x14ac:dyDescent="0.2">
      <c r="A95" s="1"/>
      <c r="B95" s="1" t="s">
        <v>699</v>
      </c>
      <c r="C95" s="409">
        <f t="shared" si="39"/>
        <v>0</v>
      </c>
      <c r="D95" s="409">
        <f t="shared" si="40"/>
        <v>0</v>
      </c>
      <c r="E95" s="409">
        <f t="shared" si="41"/>
        <v>0</v>
      </c>
      <c r="F95" s="409">
        <f t="shared" si="42"/>
        <v>0</v>
      </c>
      <c r="G95" s="413">
        <f t="shared" si="43"/>
        <v>0</v>
      </c>
      <c r="H95" s="413">
        <f t="shared" si="44"/>
        <v>0</v>
      </c>
      <c r="I95" s="413">
        <f>IF(D8&lt;=0,0,H95/$D$8)</f>
        <v>0</v>
      </c>
      <c r="J95" s="413">
        <f t="shared" si="45"/>
        <v>0</v>
      </c>
      <c r="K95" s="1"/>
      <c r="L95" s="1"/>
      <c r="M95" s="1"/>
      <c r="N95" s="1"/>
      <c r="O95" s="1"/>
      <c r="P95" s="1"/>
      <c r="Q95" s="1"/>
      <c r="R95" s="1"/>
      <c r="S95" s="1"/>
      <c r="T95" s="1"/>
      <c r="U95" s="1"/>
      <c r="V95" s="1"/>
      <c r="W95" s="1"/>
      <c r="X95" s="1"/>
      <c r="Y95" s="1"/>
      <c r="Z95" s="1"/>
      <c r="AA95" s="6"/>
    </row>
    <row r="96" spans="1:32" x14ac:dyDescent="0.2">
      <c r="A96" s="1"/>
      <c r="B96" s="1" t="s">
        <v>700</v>
      </c>
      <c r="C96" s="409">
        <f t="shared" si="39"/>
        <v>0</v>
      </c>
      <c r="D96" s="409">
        <f t="shared" si="40"/>
        <v>0</v>
      </c>
      <c r="E96" s="409">
        <f t="shared" si="41"/>
        <v>0</v>
      </c>
      <c r="F96" s="409">
        <f t="shared" si="42"/>
        <v>0</v>
      </c>
      <c r="G96" s="413">
        <f t="shared" si="43"/>
        <v>0</v>
      </c>
      <c r="H96" s="413">
        <f t="shared" si="44"/>
        <v>0</v>
      </c>
      <c r="I96" s="413">
        <f>IF(D8&lt;=0,0,H96/$D$8)</f>
        <v>0</v>
      </c>
      <c r="J96" s="413">
        <f t="shared" si="45"/>
        <v>0</v>
      </c>
      <c r="K96" s="1"/>
      <c r="L96" s="1"/>
      <c r="M96" s="1"/>
      <c r="N96" s="1"/>
      <c r="O96" s="1"/>
      <c r="P96" s="1"/>
      <c r="Q96" s="1"/>
      <c r="R96" s="1"/>
      <c r="S96" s="1"/>
      <c r="T96" s="1"/>
      <c r="U96" s="1"/>
      <c r="V96" s="1"/>
      <c r="W96" s="1"/>
      <c r="X96" s="1"/>
      <c r="Y96" s="1"/>
      <c r="Z96" s="1"/>
      <c r="AA96" s="6"/>
    </row>
    <row r="97" spans="1:44" x14ac:dyDescent="0.2">
      <c r="A97" s="1"/>
      <c r="B97" s="1" t="s">
        <v>701</v>
      </c>
      <c r="C97" s="409">
        <f t="shared" si="39"/>
        <v>0</v>
      </c>
      <c r="D97" s="409">
        <f t="shared" si="40"/>
        <v>0</v>
      </c>
      <c r="E97" s="409">
        <f t="shared" si="41"/>
        <v>0</v>
      </c>
      <c r="F97" s="409">
        <f t="shared" si="42"/>
        <v>0</v>
      </c>
      <c r="G97" s="413">
        <f t="shared" si="43"/>
        <v>0</v>
      </c>
      <c r="H97" s="413">
        <f t="shared" si="44"/>
        <v>0</v>
      </c>
      <c r="I97" s="413">
        <f>IF(D8&lt;=0,0,H97/$D$8)</f>
        <v>0</v>
      </c>
      <c r="J97" s="413">
        <f t="shared" si="45"/>
        <v>0</v>
      </c>
      <c r="K97" s="1"/>
      <c r="L97" s="1"/>
      <c r="M97" s="1"/>
      <c r="N97" s="1"/>
      <c r="O97" s="1"/>
      <c r="P97" s="1"/>
      <c r="Q97" s="1"/>
      <c r="R97" s="1"/>
      <c r="S97" s="1"/>
      <c r="T97" s="1"/>
      <c r="U97" s="1"/>
      <c r="V97" s="1"/>
      <c r="W97" s="1"/>
      <c r="X97" s="1"/>
      <c r="Y97" s="1"/>
      <c r="Z97" s="1"/>
      <c r="AA97" s="6"/>
    </row>
    <row r="98" spans="1:44" x14ac:dyDescent="0.2">
      <c r="A98" s="1"/>
      <c r="B98" s="1" t="s">
        <v>702</v>
      </c>
      <c r="C98" s="409">
        <f t="shared" si="39"/>
        <v>0</v>
      </c>
      <c r="D98" s="409">
        <f t="shared" si="40"/>
        <v>0</v>
      </c>
      <c r="E98" s="409">
        <f t="shared" si="41"/>
        <v>0</v>
      </c>
      <c r="F98" s="409">
        <f t="shared" si="42"/>
        <v>0</v>
      </c>
      <c r="G98" s="413">
        <f t="shared" si="43"/>
        <v>0</v>
      </c>
      <c r="H98" s="413">
        <f t="shared" si="44"/>
        <v>0</v>
      </c>
      <c r="I98" s="413">
        <f>IF(D8&lt;=0,0,H98/$D$8)</f>
        <v>0</v>
      </c>
      <c r="J98" s="413">
        <f t="shared" si="45"/>
        <v>0</v>
      </c>
      <c r="K98" s="1"/>
      <c r="L98" s="1"/>
      <c r="M98" s="1"/>
      <c r="N98" s="1"/>
      <c r="O98" s="1"/>
      <c r="P98" s="1"/>
      <c r="Q98" s="1"/>
      <c r="R98" s="1"/>
      <c r="S98" s="1"/>
      <c r="T98" s="1"/>
      <c r="U98" s="1"/>
      <c r="V98" s="1"/>
      <c r="W98" s="1"/>
      <c r="X98" s="1"/>
      <c r="Y98" s="1"/>
      <c r="Z98" s="1"/>
      <c r="AA98" s="6"/>
    </row>
    <row r="99" spans="1:44" x14ac:dyDescent="0.2">
      <c r="A99" s="1"/>
      <c r="B99" s="1" t="s">
        <v>703</v>
      </c>
      <c r="C99" s="409">
        <f t="shared" si="39"/>
        <v>0</v>
      </c>
      <c r="D99" s="409">
        <f t="shared" si="40"/>
        <v>0</v>
      </c>
      <c r="E99" s="409">
        <f t="shared" si="41"/>
        <v>0</v>
      </c>
      <c r="F99" s="409">
        <f t="shared" si="42"/>
        <v>0</v>
      </c>
      <c r="G99" s="413">
        <f t="shared" si="43"/>
        <v>0</v>
      </c>
      <c r="H99" s="413">
        <f t="shared" si="44"/>
        <v>0</v>
      </c>
      <c r="I99" s="413">
        <f>IF(D8&lt;=0,0,H99/$D$8)</f>
        <v>0</v>
      </c>
      <c r="J99" s="413">
        <f t="shared" si="45"/>
        <v>0</v>
      </c>
      <c r="K99" s="1"/>
      <c r="L99" s="1"/>
      <c r="M99" s="1"/>
      <c r="N99" s="1"/>
      <c r="O99" s="1"/>
      <c r="P99" s="1"/>
      <c r="Q99" s="1"/>
      <c r="R99" s="1"/>
      <c r="S99" s="1"/>
      <c r="T99" s="1"/>
      <c r="U99" s="1"/>
      <c r="V99" s="1"/>
      <c r="W99" s="1"/>
      <c r="X99" s="1"/>
      <c r="Y99" s="1"/>
      <c r="Z99" s="1"/>
      <c r="AA99" s="6"/>
    </row>
    <row r="100" spans="1:44" x14ac:dyDescent="0.2">
      <c r="A100" s="1"/>
      <c r="B100" s="1"/>
      <c r="C100" s="1"/>
      <c r="D100" s="1"/>
      <c r="E100" s="1"/>
      <c r="F100" s="1"/>
      <c r="G100" s="1" t="s">
        <v>730</v>
      </c>
      <c r="H100" s="453">
        <f>SUM(H94:H99)</f>
        <v>0</v>
      </c>
      <c r="I100" s="418">
        <f>IF(D8&lt;=0,0,H100/$D$8)</f>
        <v>0</v>
      </c>
      <c r="J100" s="418">
        <f t="shared" si="45"/>
        <v>0</v>
      </c>
      <c r="K100" s="1"/>
      <c r="L100" s="1"/>
      <c r="M100" s="1"/>
      <c r="N100" s="1"/>
      <c r="O100" s="1"/>
      <c r="P100" s="1"/>
      <c r="Q100" s="1"/>
      <c r="R100" s="1"/>
      <c r="S100" s="1"/>
      <c r="T100" s="1"/>
      <c r="U100" s="1"/>
      <c r="V100" s="1"/>
      <c r="W100" s="1"/>
      <c r="X100" s="1"/>
      <c r="Y100" s="1"/>
      <c r="Z100" s="1"/>
      <c r="AA100" s="6"/>
    </row>
    <row r="101" spans="1:44"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6"/>
    </row>
    <row r="102" spans="1:44" x14ac:dyDescent="0.2">
      <c r="A102" s="1"/>
      <c r="B102" s="1"/>
      <c r="C102" s="1"/>
      <c r="D102" s="1"/>
      <c r="E102" s="1"/>
      <c r="F102" s="1"/>
      <c r="G102" s="1"/>
      <c r="H102" s="1"/>
      <c r="I102" s="1"/>
      <c r="J102" s="1"/>
      <c r="K102" s="1"/>
      <c r="L102" s="1"/>
      <c r="M102" s="1"/>
      <c r="N102" s="1"/>
      <c r="O102" s="1"/>
      <c r="P102" s="1"/>
      <c r="Q102" s="1"/>
      <c r="R102" s="1" t="s">
        <v>788</v>
      </c>
      <c r="S102" s="1"/>
      <c r="T102" s="1"/>
      <c r="U102" s="1"/>
      <c r="W102" s="1"/>
      <c r="X102" s="1"/>
      <c r="Y102" s="1" t="s">
        <v>789</v>
      </c>
      <c r="Z102" s="1"/>
      <c r="AA102" s="6"/>
    </row>
    <row r="103" spans="1:44"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6"/>
    </row>
    <row r="104" spans="1:44"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6"/>
    </row>
    <row r="105" spans="1:44" ht="15.75" x14ac:dyDescent="0.25">
      <c r="A105" s="1"/>
      <c r="B105" s="446" t="s">
        <v>397</v>
      </c>
      <c r="C105" s="1"/>
      <c r="D105" s="1"/>
      <c r="E105" s="1"/>
      <c r="F105" s="1"/>
      <c r="G105" s="1"/>
      <c r="H105" s="1"/>
      <c r="I105" s="1"/>
      <c r="J105" s="1"/>
      <c r="K105" s="1"/>
      <c r="L105" s="1"/>
      <c r="M105" s="1"/>
      <c r="N105" s="1"/>
      <c r="O105" s="1"/>
      <c r="P105" s="1"/>
      <c r="Q105" s="1"/>
      <c r="R105" s="1"/>
      <c r="S105" s="1"/>
      <c r="T105" s="1"/>
      <c r="U105" s="1"/>
      <c r="V105" s="1"/>
      <c r="W105" s="1"/>
      <c r="X105" s="1"/>
      <c r="Y105" s="1"/>
      <c r="Z105" s="1"/>
      <c r="AA105" s="6"/>
    </row>
    <row r="106" spans="1:44" x14ac:dyDescent="0.2">
      <c r="A106" s="1"/>
      <c r="B106" s="1"/>
      <c r="C106" s="1"/>
      <c r="D106" s="1"/>
      <c r="E106" s="1"/>
      <c r="F106" s="1"/>
      <c r="G106" s="1"/>
      <c r="H106" s="1"/>
      <c r="I106" s="1"/>
      <c r="J106" s="1"/>
      <c r="K106" s="1"/>
      <c r="L106" s="1"/>
      <c r="M106" s="1"/>
      <c r="N106" s="1"/>
      <c r="O106" s="1"/>
      <c r="P106" s="1"/>
      <c r="Q106" s="1"/>
    </row>
    <row r="107" spans="1:44" ht="15.75" x14ac:dyDescent="0.25">
      <c r="C107" s="446" t="s">
        <v>620</v>
      </c>
      <c r="D107" s="1" t="s">
        <v>398</v>
      </c>
      <c r="E107" s="1"/>
      <c r="F107" s="1"/>
      <c r="G107" s="1"/>
      <c r="H107" s="1"/>
      <c r="I107" s="1"/>
      <c r="J107" s="1"/>
      <c r="L107" s="446" t="s">
        <v>582</v>
      </c>
      <c r="N107" s="446" t="s">
        <v>620</v>
      </c>
      <c r="O107" s="1"/>
      <c r="P107" s="1"/>
      <c r="Q107" s="1"/>
      <c r="R107" s="1"/>
      <c r="S107" s="1"/>
      <c r="T107" s="1"/>
      <c r="U107" s="1"/>
      <c r="Y107" s="446" t="s">
        <v>795</v>
      </c>
      <c r="Z107" s="446" t="s">
        <v>393</v>
      </c>
      <c r="AA107" s="6"/>
      <c r="AB107" s="6"/>
      <c r="AC107" s="6"/>
      <c r="AD107" s="6"/>
      <c r="AE107" s="6"/>
      <c r="AF107" s="6"/>
      <c r="AG107" s="1"/>
      <c r="AI107" s="446" t="s">
        <v>582</v>
      </c>
      <c r="AJ107" s="446" t="s">
        <v>393</v>
      </c>
      <c r="AL107" s="1"/>
      <c r="AM107" s="1"/>
      <c r="AN107" s="1"/>
      <c r="AO107" s="1"/>
      <c r="AP107" s="1"/>
      <c r="AQ107" s="1"/>
      <c r="AR107" s="1"/>
    </row>
    <row r="108" spans="1:44" x14ac:dyDescent="0.2">
      <c r="B108" s="65"/>
      <c r="C108" s="1"/>
      <c r="D108" s="14"/>
      <c r="E108" s="14"/>
      <c r="F108" s="14"/>
      <c r="G108" s="14"/>
      <c r="H108" s="14"/>
      <c r="I108" s="14"/>
      <c r="J108" s="14"/>
      <c r="L108" s="65"/>
      <c r="M108" s="1"/>
      <c r="N108" s="14"/>
      <c r="O108" s="14"/>
      <c r="P108" s="14"/>
      <c r="Q108" s="14"/>
      <c r="R108" s="14"/>
      <c r="S108" s="14"/>
      <c r="T108" s="14"/>
      <c r="U108" s="14"/>
      <c r="Y108" s="65"/>
      <c r="Z108" s="1"/>
      <c r="AA108" s="6"/>
      <c r="AB108" s="6"/>
      <c r="AC108" s="6"/>
      <c r="AD108" s="6"/>
      <c r="AE108" s="6"/>
      <c r="AF108" s="6"/>
      <c r="AG108" s="14"/>
      <c r="AI108" s="65"/>
      <c r="AJ108" s="1"/>
      <c r="AK108" s="14"/>
      <c r="AL108" s="14"/>
      <c r="AM108" s="14"/>
      <c r="AN108" s="14"/>
      <c r="AO108" s="14"/>
      <c r="AP108" s="14"/>
      <c r="AQ108" s="14"/>
      <c r="AR108" s="14"/>
    </row>
    <row r="109" spans="1:44" ht="15.75" x14ac:dyDescent="0.25">
      <c r="B109" s="482" t="s">
        <v>994</v>
      </c>
      <c r="C109" s="483" t="s">
        <v>583</v>
      </c>
      <c r="D109" s="484" t="s">
        <v>616</v>
      </c>
      <c r="E109" s="482" t="s">
        <v>619</v>
      </c>
      <c r="F109" s="485" t="s">
        <v>617</v>
      </c>
      <c r="G109" s="485" t="s">
        <v>245</v>
      </c>
      <c r="H109" s="486" t="s">
        <v>489</v>
      </c>
      <c r="I109" s="486" t="s">
        <v>490</v>
      </c>
      <c r="L109" s="482" t="s">
        <v>994</v>
      </c>
      <c r="M109" s="483" t="s">
        <v>583</v>
      </c>
      <c r="N109" s="484" t="s">
        <v>616</v>
      </c>
      <c r="O109" s="482" t="s">
        <v>619</v>
      </c>
      <c r="P109" s="485" t="s">
        <v>617</v>
      </c>
      <c r="Q109" s="482"/>
      <c r="R109" s="485" t="s">
        <v>245</v>
      </c>
      <c r="S109" s="487" t="s">
        <v>489</v>
      </c>
      <c r="T109" s="487" t="s">
        <v>490</v>
      </c>
      <c r="U109" s="1"/>
      <c r="Y109" s="488" t="s">
        <v>994</v>
      </c>
      <c r="Z109" s="94" t="s">
        <v>583</v>
      </c>
      <c r="AA109" s="488" t="s">
        <v>616</v>
      </c>
      <c r="AB109" s="488" t="s">
        <v>619</v>
      </c>
      <c r="AC109" s="488" t="s">
        <v>617</v>
      </c>
      <c r="AD109" s="488" t="s">
        <v>618</v>
      </c>
      <c r="AE109" s="489" t="s">
        <v>489</v>
      </c>
      <c r="AF109" s="489" t="s">
        <v>490</v>
      </c>
      <c r="AI109" s="488" t="s">
        <v>994</v>
      </c>
      <c r="AJ109" s="94" t="s">
        <v>583</v>
      </c>
      <c r="AK109" s="490" t="s">
        <v>616</v>
      </c>
      <c r="AL109" s="488" t="s">
        <v>619</v>
      </c>
      <c r="AM109" s="74" t="s">
        <v>617</v>
      </c>
      <c r="AN109" s="488"/>
      <c r="AO109" s="74" t="s">
        <v>618</v>
      </c>
      <c r="AP109" s="72" t="s">
        <v>489</v>
      </c>
      <c r="AQ109" s="72" t="s">
        <v>490</v>
      </c>
      <c r="AR109" s="1"/>
    </row>
    <row r="110" spans="1:44" ht="15.75" x14ac:dyDescent="0.25">
      <c r="B110" s="435"/>
      <c r="C110" s="491" t="str">
        <f>IF(B110&lt;=0,"",VLOOKUP(B110,Treatments!$C$7:$J$407,2))</f>
        <v/>
      </c>
      <c r="D110" s="492"/>
      <c r="E110" s="433">
        <f>VLOOKUP(B110,Treatments!$C$7:$J$407,8)</f>
        <v>0</v>
      </c>
      <c r="F110" s="435"/>
      <c r="G110" s="493"/>
      <c r="H110" s="433">
        <f>D110*E110*F110*G110</f>
        <v>0</v>
      </c>
      <c r="I110" s="411">
        <f>H110*$D$9</f>
        <v>0</v>
      </c>
      <c r="L110" s="305"/>
      <c r="M110" s="491" t="str">
        <f>VLOOKUP(L110,Treatments!$C$7:$J$407,2)</f>
        <v>No treatment</v>
      </c>
      <c r="N110" s="306"/>
      <c r="O110" s="433">
        <f>VLOOKUP(L110,Treatments!$C$7:$J$407,8)</f>
        <v>0</v>
      </c>
      <c r="P110" s="305"/>
      <c r="Q110" s="494"/>
      <c r="R110" s="493"/>
      <c r="S110" s="433">
        <f t="shared" ref="S110:S115" si="46">N110*O110*P110*R110</f>
        <v>0</v>
      </c>
      <c r="T110" s="411">
        <f t="shared" ref="T110:T115" si="47">S110*$D$9</f>
        <v>0</v>
      </c>
      <c r="U110" s="1"/>
      <c r="Y110" s="447">
        <f>IF(AND(B110&gt;=344,B110&lt;=358),B110+15,B110)</f>
        <v>0</v>
      </c>
      <c r="Z110" s="491" t="str">
        <f>VLOOKUP(Y110,Treatments!$C$7:$J$407,2)</f>
        <v>No treatment</v>
      </c>
      <c r="AA110" s="495">
        <f>D110</f>
        <v>0</v>
      </c>
      <c r="AB110" s="433">
        <f>VLOOKUP(Y110,Treatments!$C$7:$J$407,8)</f>
        <v>0</v>
      </c>
      <c r="AC110" s="495">
        <f>F110</f>
        <v>0</v>
      </c>
      <c r="AD110" s="496">
        <f>G110</f>
        <v>0</v>
      </c>
      <c r="AE110" s="433">
        <f>AA110*AB110*AC110*AD110</f>
        <v>0</v>
      </c>
      <c r="AF110" s="411">
        <f t="shared" ref="AF110:AF124" si="48">AE110*$D$9</f>
        <v>0</v>
      </c>
      <c r="AI110" s="447">
        <f t="shared" ref="AI110:AI115" si="49">IF(AND(L110&gt;=344,L110&lt;=358),L110+15,L110)</f>
        <v>0</v>
      </c>
      <c r="AJ110" s="491" t="str">
        <f>VLOOKUP(AI110,Treatments!$C$7:$J$407,2)</f>
        <v>No treatment</v>
      </c>
      <c r="AK110" s="495">
        <f t="shared" ref="AK110:AK115" si="50">N110</f>
        <v>0</v>
      </c>
      <c r="AL110" s="433">
        <f>VLOOKUP(AI110,Treatments!$C$7:$J$407,8)</f>
        <v>0</v>
      </c>
      <c r="AM110" s="495">
        <f t="shared" ref="AM110:AM115" si="51">P110</f>
        <v>0</v>
      </c>
      <c r="AN110" s="494"/>
      <c r="AO110" s="496">
        <f t="shared" ref="AO110:AO115" si="52">R110</f>
        <v>0</v>
      </c>
      <c r="AP110" s="433">
        <f t="shared" ref="AP110:AP115" si="53">AK110*AL110*AM110*AO110</f>
        <v>0</v>
      </c>
      <c r="AQ110" s="411">
        <f t="shared" ref="AQ110:AQ115" si="54">AP110*$D$9</f>
        <v>0</v>
      </c>
      <c r="AR110" s="1"/>
    </row>
    <row r="111" spans="1:44" ht="15.75" x14ac:dyDescent="0.25">
      <c r="B111" s="435"/>
      <c r="C111" s="491" t="str">
        <f>IF(B111&lt;=0,"",VLOOKUP(B111,Treatments!$C$7:$J$407,2))</f>
        <v/>
      </c>
      <c r="D111" s="492"/>
      <c r="E111" s="433">
        <f>VLOOKUP(B111,Treatments!$C$7:$J$407,8)</f>
        <v>0</v>
      </c>
      <c r="F111" s="435"/>
      <c r="G111" s="493"/>
      <c r="H111" s="433">
        <f>D111*E111*F111*G111</f>
        <v>0</v>
      </c>
      <c r="I111" s="411">
        <f t="shared" ref="I111:I124" si="55">H111*$D$9</f>
        <v>0</v>
      </c>
      <c r="L111" s="305"/>
      <c r="M111" s="491" t="str">
        <f>VLOOKUP(L111,Treatments!$C$7:$J$407,2)</f>
        <v>No treatment</v>
      </c>
      <c r="N111" s="306"/>
      <c r="O111" s="433">
        <f>VLOOKUP(L111,Treatments!$C$7:$J$407,8)</f>
        <v>0</v>
      </c>
      <c r="P111" s="305"/>
      <c r="Q111" s="497"/>
      <c r="R111" s="493"/>
      <c r="S111" s="433">
        <f t="shared" si="46"/>
        <v>0</v>
      </c>
      <c r="T111" s="411">
        <f t="shared" si="47"/>
        <v>0</v>
      </c>
      <c r="U111" s="1"/>
      <c r="Y111" s="447">
        <f t="shared" ref="Y111:Y124" si="56">IF(AND(B111&gt;=344,B111&lt;=358),B111+15,B111)</f>
        <v>0</v>
      </c>
      <c r="Z111" s="491" t="str">
        <f>VLOOKUP(Y111,Treatments!$C$7:$J$407,2)</f>
        <v>No treatment</v>
      </c>
      <c r="AA111" s="495">
        <f t="shared" ref="AA111:AA124" si="57">D111</f>
        <v>0</v>
      </c>
      <c r="AB111" s="433">
        <f>VLOOKUP(Y111,Treatments!$C$7:$J$407,8)</f>
        <v>0</v>
      </c>
      <c r="AC111" s="495">
        <f t="shared" ref="AC111:AD124" si="58">F111</f>
        <v>0</v>
      </c>
      <c r="AD111" s="496">
        <f t="shared" si="58"/>
        <v>0</v>
      </c>
      <c r="AE111" s="433">
        <f>AA111*AB111*AC111*AD111</f>
        <v>0</v>
      </c>
      <c r="AF111" s="411">
        <f t="shared" si="48"/>
        <v>0</v>
      </c>
      <c r="AI111" s="447">
        <f t="shared" si="49"/>
        <v>0</v>
      </c>
      <c r="AJ111" s="491" t="str">
        <f>VLOOKUP(AI111,Treatments!$C$7:$J$407,2)</f>
        <v>No treatment</v>
      </c>
      <c r="AK111" s="495">
        <f t="shared" si="50"/>
        <v>0</v>
      </c>
      <c r="AL111" s="433">
        <f>VLOOKUP(AI111,Treatments!$C$7:$J$407,8)</f>
        <v>0</v>
      </c>
      <c r="AM111" s="495">
        <f t="shared" si="51"/>
        <v>0</v>
      </c>
      <c r="AN111" s="497"/>
      <c r="AO111" s="496">
        <f t="shared" si="52"/>
        <v>0</v>
      </c>
      <c r="AP111" s="433">
        <f t="shared" si="53"/>
        <v>0</v>
      </c>
      <c r="AQ111" s="411">
        <f t="shared" si="54"/>
        <v>0</v>
      </c>
      <c r="AR111" s="1"/>
    </row>
    <row r="112" spans="1:44" ht="15.75" x14ac:dyDescent="0.25">
      <c r="B112" s="435"/>
      <c r="C112" s="491" t="str">
        <f>IF(B112&lt;=0,"",VLOOKUP(B112,Treatments!$C$7:$J$407,2))</f>
        <v/>
      </c>
      <c r="D112" s="492"/>
      <c r="E112" s="433">
        <f>VLOOKUP(B112,Treatments!$C$7:$J$407,8)</f>
        <v>0</v>
      </c>
      <c r="F112" s="435"/>
      <c r="G112" s="493"/>
      <c r="H112" s="433">
        <f t="shared" ref="H112:H122" si="59">D112*E112*F112*G112</f>
        <v>0</v>
      </c>
      <c r="I112" s="411">
        <f t="shared" si="55"/>
        <v>0</v>
      </c>
      <c r="L112" s="305"/>
      <c r="M112" s="491" t="str">
        <f>VLOOKUP(L112,Treatments!$C$7:$J$407,2)</f>
        <v>No treatment</v>
      </c>
      <c r="N112" s="306"/>
      <c r="O112" s="433">
        <f>VLOOKUP(L112,Treatments!$C$7:$J$407,8)</f>
        <v>0</v>
      </c>
      <c r="P112" s="305"/>
      <c r="Q112" s="160"/>
      <c r="R112" s="493"/>
      <c r="S112" s="433">
        <f t="shared" si="46"/>
        <v>0</v>
      </c>
      <c r="T112" s="411">
        <f t="shared" si="47"/>
        <v>0</v>
      </c>
      <c r="U112" s="1"/>
      <c r="Y112" s="447">
        <f t="shared" si="56"/>
        <v>0</v>
      </c>
      <c r="Z112" s="491" t="str">
        <f>VLOOKUP(Y112,Treatments!$C$7:$J$407,2)</f>
        <v>No treatment</v>
      </c>
      <c r="AA112" s="495">
        <f t="shared" si="57"/>
        <v>0</v>
      </c>
      <c r="AB112" s="433">
        <f>VLOOKUP(Y112,Treatments!$C$7:$J$407,8)</f>
        <v>0</v>
      </c>
      <c r="AC112" s="495">
        <f t="shared" si="58"/>
        <v>0</v>
      </c>
      <c r="AD112" s="496">
        <f t="shared" si="58"/>
        <v>0</v>
      </c>
      <c r="AE112" s="433">
        <f t="shared" ref="AE112:AE122" si="60">AA112*AB112*AC112*AD112</f>
        <v>0</v>
      </c>
      <c r="AF112" s="411">
        <f t="shared" si="48"/>
        <v>0</v>
      </c>
      <c r="AI112" s="447">
        <f t="shared" si="49"/>
        <v>0</v>
      </c>
      <c r="AJ112" s="491" t="str">
        <f>VLOOKUP(AI112,Treatments!$C$7:$J$407,2)</f>
        <v>No treatment</v>
      </c>
      <c r="AK112" s="495">
        <f t="shared" si="50"/>
        <v>0</v>
      </c>
      <c r="AL112" s="433">
        <f>VLOOKUP(AI112,Treatments!$C$7:$J$407,8)</f>
        <v>0</v>
      </c>
      <c r="AM112" s="495">
        <f t="shared" si="51"/>
        <v>0</v>
      </c>
      <c r="AN112" s="160"/>
      <c r="AO112" s="496">
        <f t="shared" si="52"/>
        <v>0</v>
      </c>
      <c r="AP112" s="433">
        <f t="shared" si="53"/>
        <v>0</v>
      </c>
      <c r="AQ112" s="411">
        <f t="shared" si="54"/>
        <v>0</v>
      </c>
      <c r="AR112" s="1"/>
    </row>
    <row r="113" spans="2:44" ht="15.75" x14ac:dyDescent="0.25">
      <c r="B113" s="435"/>
      <c r="C113" s="491" t="str">
        <f>IF(B113&lt;=0,"",VLOOKUP(B113,Treatments!$C$7:$J$407,2))</f>
        <v/>
      </c>
      <c r="D113" s="492"/>
      <c r="E113" s="433">
        <f>VLOOKUP(B113,Treatments!$C$7:$J$407,8)</f>
        <v>0</v>
      </c>
      <c r="F113" s="435"/>
      <c r="G113" s="493"/>
      <c r="H113" s="433">
        <f t="shared" si="59"/>
        <v>0</v>
      </c>
      <c r="I113" s="411">
        <f t="shared" si="55"/>
        <v>0</v>
      </c>
      <c r="L113" s="305"/>
      <c r="M113" s="491" t="str">
        <f>VLOOKUP(L113,Treatments!$C$7:$J$407,2)</f>
        <v>No treatment</v>
      </c>
      <c r="N113" s="306"/>
      <c r="O113" s="433">
        <f>VLOOKUP(L113,Treatments!$C$7:$J$407,8)</f>
        <v>0</v>
      </c>
      <c r="P113" s="305"/>
      <c r="Q113" s="498"/>
      <c r="R113" s="493"/>
      <c r="S113" s="433">
        <f t="shared" si="46"/>
        <v>0</v>
      </c>
      <c r="T113" s="411">
        <f t="shared" si="47"/>
        <v>0</v>
      </c>
      <c r="U113" s="1"/>
      <c r="Y113" s="447">
        <f t="shared" si="56"/>
        <v>0</v>
      </c>
      <c r="Z113" s="491" t="str">
        <f>VLOOKUP(Y113,Treatments!$C$7:$J$407,2)</f>
        <v>No treatment</v>
      </c>
      <c r="AA113" s="495">
        <f t="shared" si="57"/>
        <v>0</v>
      </c>
      <c r="AB113" s="433">
        <f>VLOOKUP(Y113,Treatments!$C$7:$J$407,8)</f>
        <v>0</v>
      </c>
      <c r="AC113" s="495">
        <f t="shared" si="58"/>
        <v>0</v>
      </c>
      <c r="AD113" s="496">
        <f t="shared" si="58"/>
        <v>0</v>
      </c>
      <c r="AE113" s="433">
        <f t="shared" si="60"/>
        <v>0</v>
      </c>
      <c r="AF113" s="411">
        <f t="shared" si="48"/>
        <v>0</v>
      </c>
      <c r="AI113" s="447">
        <f t="shared" si="49"/>
        <v>0</v>
      </c>
      <c r="AJ113" s="491" t="str">
        <f>VLOOKUP(AI113,Treatments!$C$7:$J$407,2)</f>
        <v>No treatment</v>
      </c>
      <c r="AK113" s="495">
        <f t="shared" si="50"/>
        <v>0</v>
      </c>
      <c r="AL113" s="433">
        <f>VLOOKUP(AI113,Treatments!$C$7:$J$407,8)</f>
        <v>0</v>
      </c>
      <c r="AM113" s="495">
        <f t="shared" si="51"/>
        <v>0</v>
      </c>
      <c r="AN113" s="498"/>
      <c r="AO113" s="496">
        <f t="shared" si="52"/>
        <v>0</v>
      </c>
      <c r="AP113" s="433">
        <f t="shared" si="53"/>
        <v>0</v>
      </c>
      <c r="AQ113" s="411">
        <f t="shared" si="54"/>
        <v>0</v>
      </c>
      <c r="AR113" s="1"/>
    </row>
    <row r="114" spans="2:44" x14ac:dyDescent="0.2">
      <c r="B114" s="435"/>
      <c r="C114" s="491" t="str">
        <f>IF(B114&lt;=0,"",VLOOKUP(B114,Treatments!$C$7:$J$407,2))</f>
        <v/>
      </c>
      <c r="D114" s="492"/>
      <c r="E114" s="433">
        <f>VLOOKUP(B114,Treatments!$C$7:$J$407,8)</f>
        <v>0</v>
      </c>
      <c r="F114" s="435"/>
      <c r="G114" s="493"/>
      <c r="H114" s="433">
        <f t="shared" si="59"/>
        <v>0</v>
      </c>
      <c r="I114" s="411">
        <f t="shared" si="55"/>
        <v>0</v>
      </c>
      <c r="L114" s="435"/>
      <c r="M114" s="491" t="str">
        <f>VLOOKUP(L114,Treatments!$C$7:$J$407,2)</f>
        <v>No treatment</v>
      </c>
      <c r="N114" s="492"/>
      <c r="O114" s="433">
        <f>VLOOKUP(L114,Treatments!$C$7:$J$407,8)</f>
        <v>0</v>
      </c>
      <c r="P114" s="435"/>
      <c r="Q114" s="498"/>
      <c r="R114" s="493"/>
      <c r="S114" s="433">
        <f t="shared" si="46"/>
        <v>0</v>
      </c>
      <c r="T114" s="411">
        <f t="shared" si="47"/>
        <v>0</v>
      </c>
      <c r="U114" s="1"/>
      <c r="Y114" s="447">
        <f t="shared" si="56"/>
        <v>0</v>
      </c>
      <c r="Z114" s="491" t="str">
        <f>VLOOKUP(Y114,Treatments!$C$7:$J$407,2)</f>
        <v>No treatment</v>
      </c>
      <c r="AA114" s="495">
        <f t="shared" si="57"/>
        <v>0</v>
      </c>
      <c r="AB114" s="433">
        <f>VLOOKUP(Y114,Treatments!$C$7:$J$407,8)</f>
        <v>0</v>
      </c>
      <c r="AC114" s="495">
        <f t="shared" si="58"/>
        <v>0</v>
      </c>
      <c r="AD114" s="496">
        <f t="shared" si="58"/>
        <v>0</v>
      </c>
      <c r="AE114" s="433">
        <f t="shared" si="60"/>
        <v>0</v>
      </c>
      <c r="AF114" s="411">
        <f t="shared" si="48"/>
        <v>0</v>
      </c>
      <c r="AI114" s="447">
        <f t="shared" si="49"/>
        <v>0</v>
      </c>
      <c r="AJ114" s="491" t="str">
        <f>VLOOKUP(AI114,Treatments!$C$7:$J$407,2)</f>
        <v>No treatment</v>
      </c>
      <c r="AK114" s="495">
        <f t="shared" si="50"/>
        <v>0</v>
      </c>
      <c r="AL114" s="433">
        <f>VLOOKUP(AI114,Treatments!$C$7:$J$407,8)</f>
        <v>0</v>
      </c>
      <c r="AM114" s="495">
        <f t="shared" si="51"/>
        <v>0</v>
      </c>
      <c r="AN114" s="498"/>
      <c r="AO114" s="496">
        <f t="shared" si="52"/>
        <v>0</v>
      </c>
      <c r="AP114" s="433">
        <f t="shared" si="53"/>
        <v>0</v>
      </c>
      <c r="AQ114" s="411">
        <f t="shared" si="54"/>
        <v>0</v>
      </c>
      <c r="AR114" s="1"/>
    </row>
    <row r="115" spans="2:44" x14ac:dyDescent="0.2">
      <c r="B115" s="435"/>
      <c r="C115" s="491" t="str">
        <f>IF(B115&lt;=0,"",VLOOKUP(B115,Treatments!$C$7:$J$407,2))</f>
        <v/>
      </c>
      <c r="D115" s="492"/>
      <c r="E115" s="433">
        <f>VLOOKUP(B115,Treatments!$C$7:$J$407,8)</f>
        <v>0</v>
      </c>
      <c r="F115" s="435"/>
      <c r="G115" s="493"/>
      <c r="H115" s="433">
        <f t="shared" si="59"/>
        <v>0</v>
      </c>
      <c r="I115" s="411">
        <f t="shared" si="55"/>
        <v>0</v>
      </c>
      <c r="L115" s="435"/>
      <c r="M115" s="491" t="str">
        <f>VLOOKUP(L115,Treatments!$C$7:$J$407,2)</f>
        <v>No treatment</v>
      </c>
      <c r="N115" s="492"/>
      <c r="O115" s="433">
        <f>VLOOKUP(L115,Treatments!$C$7:$J$407,8)</f>
        <v>0</v>
      </c>
      <c r="P115" s="435"/>
      <c r="Q115" s="498"/>
      <c r="R115" s="493"/>
      <c r="S115" s="433">
        <f t="shared" si="46"/>
        <v>0</v>
      </c>
      <c r="T115" s="411">
        <f t="shared" si="47"/>
        <v>0</v>
      </c>
      <c r="U115" s="1"/>
      <c r="Y115" s="447">
        <f t="shared" si="56"/>
        <v>0</v>
      </c>
      <c r="Z115" s="491" t="str">
        <f>VLOOKUP(Y115,Treatments!$C$7:$J$407,2)</f>
        <v>No treatment</v>
      </c>
      <c r="AA115" s="495">
        <f t="shared" si="57"/>
        <v>0</v>
      </c>
      <c r="AB115" s="433">
        <f>VLOOKUP(Y115,Treatments!$C$7:$J$407,8)</f>
        <v>0</v>
      </c>
      <c r="AC115" s="495">
        <f t="shared" si="58"/>
        <v>0</v>
      </c>
      <c r="AD115" s="496">
        <f t="shared" si="58"/>
        <v>0</v>
      </c>
      <c r="AE115" s="433">
        <f t="shared" si="60"/>
        <v>0</v>
      </c>
      <c r="AF115" s="411">
        <f t="shared" si="48"/>
        <v>0</v>
      </c>
      <c r="AI115" s="447">
        <f t="shared" si="49"/>
        <v>0</v>
      </c>
      <c r="AJ115" s="491" t="str">
        <f>VLOOKUP(AI115,Treatments!$C$7:$J$407,2)</f>
        <v>No treatment</v>
      </c>
      <c r="AK115" s="495">
        <f t="shared" si="50"/>
        <v>0</v>
      </c>
      <c r="AL115" s="433">
        <f>VLOOKUP(AI115,Treatments!$C$7:$J$407,8)</f>
        <v>0</v>
      </c>
      <c r="AM115" s="495">
        <f t="shared" si="51"/>
        <v>0</v>
      </c>
      <c r="AN115" s="498"/>
      <c r="AO115" s="496">
        <f t="shared" si="52"/>
        <v>0</v>
      </c>
      <c r="AP115" s="433">
        <f t="shared" si="53"/>
        <v>0</v>
      </c>
      <c r="AQ115" s="411">
        <f t="shared" si="54"/>
        <v>0</v>
      </c>
      <c r="AR115" s="1"/>
    </row>
    <row r="116" spans="2:44" x14ac:dyDescent="0.2">
      <c r="B116" s="435"/>
      <c r="C116" s="491" t="str">
        <f>IF(B116&lt;=0,"",VLOOKUP(B116,Treatments!$C$7:$J$407,2))</f>
        <v/>
      </c>
      <c r="D116" s="492"/>
      <c r="E116" s="433">
        <f>VLOOKUP(B116,Treatments!$C$7:$J$407,8)</f>
        <v>0</v>
      </c>
      <c r="F116" s="435"/>
      <c r="G116" s="493"/>
      <c r="H116" s="433">
        <f t="shared" si="59"/>
        <v>0</v>
      </c>
      <c r="I116" s="411">
        <f t="shared" si="55"/>
        <v>0</v>
      </c>
      <c r="U116" s="1"/>
      <c r="Y116" s="447">
        <f t="shared" si="56"/>
        <v>0</v>
      </c>
      <c r="Z116" s="491" t="str">
        <f>VLOOKUP(Y116,Treatments!$C$7:$J$407,2)</f>
        <v>No treatment</v>
      </c>
      <c r="AA116" s="495">
        <f t="shared" si="57"/>
        <v>0</v>
      </c>
      <c r="AB116" s="433">
        <f>VLOOKUP(Y116,Treatments!$C$7:$J$407,8)</f>
        <v>0</v>
      </c>
      <c r="AC116" s="495">
        <f t="shared" si="58"/>
        <v>0</v>
      </c>
      <c r="AD116" s="496">
        <f t="shared" si="58"/>
        <v>0</v>
      </c>
      <c r="AE116" s="433">
        <f t="shared" si="60"/>
        <v>0</v>
      </c>
      <c r="AF116" s="411">
        <f t="shared" si="48"/>
        <v>0</v>
      </c>
      <c r="AR116" s="1"/>
    </row>
    <row r="117" spans="2:44" ht="15.75" x14ac:dyDescent="0.25">
      <c r="B117" s="435"/>
      <c r="C117" s="491" t="str">
        <f>IF(B117&lt;=0,"",VLOOKUP(B117,Treatments!$C$7:$J$407,2))</f>
        <v/>
      </c>
      <c r="D117" s="492"/>
      <c r="E117" s="433">
        <f>VLOOKUP(B117,Treatments!$C$7:$J$407,8)</f>
        <v>0</v>
      </c>
      <c r="F117" s="435"/>
      <c r="G117" s="493"/>
      <c r="H117" s="433">
        <f t="shared" si="59"/>
        <v>0</v>
      </c>
      <c r="I117" s="411">
        <f t="shared" si="55"/>
        <v>0</v>
      </c>
      <c r="L117" s="482" t="s">
        <v>994</v>
      </c>
      <c r="M117" s="483" t="s">
        <v>580</v>
      </c>
      <c r="N117" s="484" t="s">
        <v>616</v>
      </c>
      <c r="O117" s="482" t="s">
        <v>619</v>
      </c>
      <c r="P117" s="485" t="s">
        <v>617</v>
      </c>
      <c r="Q117" s="482"/>
      <c r="R117" s="485" t="s">
        <v>618</v>
      </c>
      <c r="S117" s="487"/>
      <c r="T117" s="487"/>
      <c r="U117" s="1"/>
      <c r="Y117" s="447">
        <f t="shared" si="56"/>
        <v>0</v>
      </c>
      <c r="Z117" s="491" t="str">
        <f>VLOOKUP(Y117,Treatments!$C$7:$J$407,2)</f>
        <v>No treatment</v>
      </c>
      <c r="AA117" s="495">
        <f t="shared" si="57"/>
        <v>0</v>
      </c>
      <c r="AB117" s="433">
        <f>VLOOKUP(Y117,Treatments!$C$7:$J$407,8)</f>
        <v>0</v>
      </c>
      <c r="AC117" s="495">
        <f t="shared" si="58"/>
        <v>0</v>
      </c>
      <c r="AD117" s="496">
        <f t="shared" si="58"/>
        <v>0</v>
      </c>
      <c r="AE117" s="433">
        <f t="shared" si="60"/>
        <v>0</v>
      </c>
      <c r="AF117" s="411">
        <f t="shared" si="48"/>
        <v>0</v>
      </c>
      <c r="AI117" s="499" t="s">
        <v>994</v>
      </c>
      <c r="AJ117" s="5" t="s">
        <v>580</v>
      </c>
      <c r="AK117" s="14" t="s">
        <v>616</v>
      </c>
      <c r="AL117" s="6" t="s">
        <v>619</v>
      </c>
      <c r="AM117" s="1" t="s">
        <v>617</v>
      </c>
      <c r="AN117" s="6"/>
      <c r="AO117" s="1" t="s">
        <v>618</v>
      </c>
      <c r="AP117" s="500"/>
      <c r="AQ117" s="62"/>
      <c r="AR117" s="1"/>
    </row>
    <row r="118" spans="2:44" ht="15.75" x14ac:dyDescent="0.25">
      <c r="B118" s="435"/>
      <c r="C118" s="491" t="str">
        <f>IF(B118&lt;=0,"",VLOOKUP(B118,Treatments!$C$7:$J$407,2))</f>
        <v/>
      </c>
      <c r="D118" s="492"/>
      <c r="E118" s="433">
        <f>VLOOKUP(B118,Treatments!$C$7:$J$407,8)</f>
        <v>0</v>
      </c>
      <c r="F118" s="435"/>
      <c r="G118" s="493"/>
      <c r="H118" s="433">
        <f t="shared" si="59"/>
        <v>0</v>
      </c>
      <c r="I118" s="411">
        <f t="shared" si="55"/>
        <v>0</v>
      </c>
      <c r="L118" s="305"/>
      <c r="M118" s="491" t="str">
        <f>VLOOKUP(L118,Treatments!$C$7:$J$407,2)</f>
        <v>No treatment</v>
      </c>
      <c r="N118" s="306"/>
      <c r="O118" s="433">
        <f>VLOOKUP(L118,Treatments!$C$7:$J$407,8)</f>
        <v>0</v>
      </c>
      <c r="P118" s="305"/>
      <c r="Q118" s="494"/>
      <c r="R118" s="308"/>
      <c r="S118" s="433">
        <f>N118*O118*P118*R118</f>
        <v>0</v>
      </c>
      <c r="T118" s="411">
        <f>S118*$D$9</f>
        <v>0</v>
      </c>
      <c r="U118" s="1"/>
      <c r="Y118" s="447">
        <f t="shared" si="56"/>
        <v>0</v>
      </c>
      <c r="Z118" s="491" t="str">
        <f>VLOOKUP(Y118,Treatments!$C$7:$J$407,2)</f>
        <v>No treatment</v>
      </c>
      <c r="AA118" s="495">
        <f t="shared" si="57"/>
        <v>0</v>
      </c>
      <c r="AB118" s="433">
        <f>VLOOKUP(Y118,Treatments!$C$7:$J$407,8)</f>
        <v>0</v>
      </c>
      <c r="AC118" s="495">
        <f t="shared" si="58"/>
        <v>0</v>
      </c>
      <c r="AD118" s="496">
        <f t="shared" si="58"/>
        <v>0</v>
      </c>
      <c r="AE118" s="433">
        <f t="shared" si="60"/>
        <v>0</v>
      </c>
      <c r="AF118" s="411">
        <f t="shared" si="48"/>
        <v>0</v>
      </c>
      <c r="AI118" s="447">
        <f t="shared" ref="AI118:AI129" si="61">IF(AND(L118&gt;=344,L118&lt;=358),L118+15,L118)</f>
        <v>0</v>
      </c>
      <c r="AJ118" s="491" t="str">
        <f>VLOOKUP(AI118,Treatments!$C$7:$J$407,2)</f>
        <v>No treatment</v>
      </c>
      <c r="AK118" s="495">
        <f t="shared" ref="AK118:AK129" si="62">N118</f>
        <v>0</v>
      </c>
      <c r="AL118" s="433">
        <f>VLOOKUP(AI118,Treatments!$C$7:$J$407,8)</f>
        <v>0</v>
      </c>
      <c r="AM118" s="495">
        <f t="shared" ref="AM118:AM129" si="63">P118</f>
        <v>0</v>
      </c>
      <c r="AN118" s="494"/>
      <c r="AO118" s="496">
        <f t="shared" ref="AO118:AO129" si="64">R118</f>
        <v>0</v>
      </c>
      <c r="AP118" s="433">
        <f>AK118*AL118*AM118*AO118</f>
        <v>0</v>
      </c>
      <c r="AQ118" s="411">
        <f t="shared" ref="AQ118:AQ129" si="65">AP118*$D$9</f>
        <v>0</v>
      </c>
      <c r="AR118" s="1"/>
    </row>
    <row r="119" spans="2:44" ht="15.75" x14ac:dyDescent="0.25">
      <c r="B119" s="435"/>
      <c r="C119" s="491" t="str">
        <f>IF(B119&lt;=0,"",VLOOKUP(B119,Treatments!$C$7:$J$407,2))</f>
        <v/>
      </c>
      <c r="D119" s="492"/>
      <c r="E119" s="433">
        <f>VLOOKUP(B119,Treatments!$C$7:$J$407,8)</f>
        <v>0</v>
      </c>
      <c r="F119" s="435"/>
      <c r="G119" s="493"/>
      <c r="H119" s="433">
        <f t="shared" si="59"/>
        <v>0</v>
      </c>
      <c r="I119" s="411">
        <f t="shared" si="55"/>
        <v>0</v>
      </c>
      <c r="L119" s="305"/>
      <c r="M119" s="491" t="str">
        <f>VLOOKUP(L119,Treatments!$C$7:$J$407,2)</f>
        <v>No treatment</v>
      </c>
      <c r="N119" s="306"/>
      <c r="O119" s="433">
        <f>VLOOKUP(L119,Treatments!$C$7:$J$407,8)</f>
        <v>0</v>
      </c>
      <c r="P119" s="305"/>
      <c r="Q119" s="160"/>
      <c r="R119" s="308"/>
      <c r="S119" s="433">
        <f t="shared" ref="S119:S129" si="66">N119*O119*P119*R119</f>
        <v>0</v>
      </c>
      <c r="T119" s="411">
        <f t="shared" ref="T119:T129" si="67">S119*$D$9</f>
        <v>0</v>
      </c>
      <c r="U119" s="1"/>
      <c r="Y119" s="447">
        <f t="shared" si="56"/>
        <v>0</v>
      </c>
      <c r="Z119" s="491" t="str">
        <f>VLOOKUP(Y119,Treatments!$C$7:$J$407,2)</f>
        <v>No treatment</v>
      </c>
      <c r="AA119" s="495">
        <f t="shared" si="57"/>
        <v>0</v>
      </c>
      <c r="AB119" s="433">
        <f>VLOOKUP(Y119,Treatments!$C$7:$J$407,8)</f>
        <v>0</v>
      </c>
      <c r="AC119" s="495">
        <f t="shared" si="58"/>
        <v>0</v>
      </c>
      <c r="AD119" s="496">
        <f t="shared" si="58"/>
        <v>0</v>
      </c>
      <c r="AE119" s="433">
        <f t="shared" si="60"/>
        <v>0</v>
      </c>
      <c r="AF119" s="411">
        <f t="shared" si="48"/>
        <v>0</v>
      </c>
      <c r="AI119" s="447">
        <f t="shared" si="61"/>
        <v>0</v>
      </c>
      <c r="AJ119" s="491" t="str">
        <f>VLOOKUP(AI119,Treatments!$C$7:$J$407,2)</f>
        <v>No treatment</v>
      </c>
      <c r="AK119" s="495">
        <f t="shared" si="62"/>
        <v>0</v>
      </c>
      <c r="AL119" s="433">
        <f>VLOOKUP(AI119,Treatments!$C$7:$J$407,8)</f>
        <v>0</v>
      </c>
      <c r="AM119" s="495">
        <f t="shared" si="63"/>
        <v>0</v>
      </c>
      <c r="AN119" s="160"/>
      <c r="AO119" s="496">
        <f t="shared" si="64"/>
        <v>0</v>
      </c>
      <c r="AP119" s="433">
        <f t="shared" ref="AP119:AP129" si="68">AK119*AL119*AM119*AO119</f>
        <v>0</v>
      </c>
      <c r="AQ119" s="411">
        <f t="shared" si="65"/>
        <v>0</v>
      </c>
      <c r="AR119" s="1"/>
    </row>
    <row r="120" spans="2:44" ht="15.75" x14ac:dyDescent="0.25">
      <c r="B120" s="435"/>
      <c r="C120" s="491" t="str">
        <f>IF(B120&lt;=0,"",VLOOKUP(B120,Treatments!$C$7:$J$407,2))</f>
        <v/>
      </c>
      <c r="D120" s="492"/>
      <c r="E120" s="433">
        <f>VLOOKUP(B120,Treatments!$C$7:$J$407,8)</f>
        <v>0</v>
      </c>
      <c r="F120" s="435"/>
      <c r="G120" s="493"/>
      <c r="H120" s="433">
        <f t="shared" si="59"/>
        <v>0</v>
      </c>
      <c r="I120" s="411">
        <f t="shared" si="55"/>
        <v>0</v>
      </c>
      <c r="L120" s="305"/>
      <c r="M120" s="491" t="str">
        <f>VLOOKUP(L120,Treatments!$C$7:$J$407,2)</f>
        <v>No treatment</v>
      </c>
      <c r="N120" s="306"/>
      <c r="O120" s="433">
        <f>VLOOKUP(L120,Treatments!$C$7:$J$407,8)</f>
        <v>0</v>
      </c>
      <c r="P120" s="305"/>
      <c r="Q120" s="160"/>
      <c r="R120" s="308"/>
      <c r="S120" s="433">
        <f t="shared" si="66"/>
        <v>0</v>
      </c>
      <c r="T120" s="411">
        <f t="shared" si="67"/>
        <v>0</v>
      </c>
      <c r="U120" s="1"/>
      <c r="Y120" s="447">
        <f t="shared" si="56"/>
        <v>0</v>
      </c>
      <c r="Z120" s="491" t="str">
        <f>VLOOKUP(Y120,Treatments!$C$7:$J$407,2)</f>
        <v>No treatment</v>
      </c>
      <c r="AA120" s="495">
        <f t="shared" si="57"/>
        <v>0</v>
      </c>
      <c r="AB120" s="433">
        <f>VLOOKUP(Y120,Treatments!$C$7:$J$407,8)</f>
        <v>0</v>
      </c>
      <c r="AC120" s="495">
        <f t="shared" si="58"/>
        <v>0</v>
      </c>
      <c r="AD120" s="496">
        <f t="shared" si="58"/>
        <v>0</v>
      </c>
      <c r="AE120" s="433">
        <f t="shared" si="60"/>
        <v>0</v>
      </c>
      <c r="AF120" s="411">
        <f t="shared" si="48"/>
        <v>0</v>
      </c>
      <c r="AI120" s="447">
        <f t="shared" si="61"/>
        <v>0</v>
      </c>
      <c r="AJ120" s="491" t="str">
        <f>VLOOKUP(AI120,Treatments!$C$7:$J$407,2)</f>
        <v>No treatment</v>
      </c>
      <c r="AK120" s="495">
        <f t="shared" si="62"/>
        <v>0</v>
      </c>
      <c r="AL120" s="433">
        <f>VLOOKUP(AI120,Treatments!$C$7:$J$407,8)</f>
        <v>0</v>
      </c>
      <c r="AM120" s="495">
        <f t="shared" si="63"/>
        <v>0</v>
      </c>
      <c r="AN120" s="160"/>
      <c r="AO120" s="496">
        <f t="shared" si="64"/>
        <v>0</v>
      </c>
      <c r="AP120" s="433">
        <f t="shared" si="68"/>
        <v>0</v>
      </c>
      <c r="AQ120" s="411">
        <f t="shared" si="65"/>
        <v>0</v>
      </c>
      <c r="AR120" s="1"/>
    </row>
    <row r="121" spans="2:44" ht="15.75" x14ac:dyDescent="0.25">
      <c r="B121" s="435"/>
      <c r="C121" s="491" t="str">
        <f>IF(B121&lt;=0,"",VLOOKUP(B121,Treatments!$C$7:$J$407,2))</f>
        <v/>
      </c>
      <c r="D121" s="492"/>
      <c r="E121" s="433">
        <f>VLOOKUP(B121,Treatments!$C$7:$J$407,8)</f>
        <v>0</v>
      </c>
      <c r="F121" s="435"/>
      <c r="G121" s="493"/>
      <c r="H121" s="433">
        <f t="shared" si="59"/>
        <v>0</v>
      </c>
      <c r="I121" s="411">
        <f t="shared" si="55"/>
        <v>0</v>
      </c>
      <c r="L121" s="305"/>
      <c r="M121" s="491" t="str">
        <f>VLOOKUP(L121,Treatments!$C$7:$J$407,2)</f>
        <v>No treatment</v>
      </c>
      <c r="N121" s="306"/>
      <c r="O121" s="433">
        <f>VLOOKUP(L121,Treatments!$C$7:$J$407,8)</f>
        <v>0</v>
      </c>
      <c r="P121" s="305"/>
      <c r="Q121" s="160"/>
      <c r="R121" s="308"/>
      <c r="S121" s="433">
        <f t="shared" si="66"/>
        <v>0</v>
      </c>
      <c r="T121" s="411">
        <f t="shared" si="67"/>
        <v>0</v>
      </c>
      <c r="U121" s="1"/>
      <c r="Y121" s="447">
        <f t="shared" si="56"/>
        <v>0</v>
      </c>
      <c r="Z121" s="491" t="str">
        <f>VLOOKUP(Y121,Treatments!$C$7:$J$407,2)</f>
        <v>No treatment</v>
      </c>
      <c r="AA121" s="495">
        <f t="shared" si="57"/>
        <v>0</v>
      </c>
      <c r="AB121" s="433">
        <f>VLOOKUP(Y121,Treatments!$C$7:$J$407,8)</f>
        <v>0</v>
      </c>
      <c r="AC121" s="495">
        <f t="shared" si="58"/>
        <v>0</v>
      </c>
      <c r="AD121" s="496">
        <f t="shared" si="58"/>
        <v>0</v>
      </c>
      <c r="AE121" s="433">
        <f t="shared" si="60"/>
        <v>0</v>
      </c>
      <c r="AF121" s="411">
        <f t="shared" si="48"/>
        <v>0</v>
      </c>
      <c r="AI121" s="447">
        <f t="shared" si="61"/>
        <v>0</v>
      </c>
      <c r="AJ121" s="491" t="str">
        <f>VLOOKUP(AI121,Treatments!$C$7:$J$407,2)</f>
        <v>No treatment</v>
      </c>
      <c r="AK121" s="495">
        <f t="shared" si="62"/>
        <v>0</v>
      </c>
      <c r="AL121" s="433">
        <f>VLOOKUP(AI121,Treatments!$C$7:$J$407,8)</f>
        <v>0</v>
      </c>
      <c r="AM121" s="495">
        <f t="shared" si="63"/>
        <v>0</v>
      </c>
      <c r="AN121" s="160"/>
      <c r="AO121" s="496">
        <f t="shared" si="64"/>
        <v>0</v>
      </c>
      <c r="AP121" s="433">
        <f t="shared" si="68"/>
        <v>0</v>
      </c>
      <c r="AQ121" s="411">
        <f t="shared" si="65"/>
        <v>0</v>
      </c>
      <c r="AR121" s="1"/>
    </row>
    <row r="122" spans="2:44" ht="15.75" x14ac:dyDescent="0.25">
      <c r="B122" s="435"/>
      <c r="C122" s="491" t="str">
        <f>IF(B122&lt;=0,"",VLOOKUP(B122,Treatments!$C$7:$J$407,2))</f>
        <v/>
      </c>
      <c r="D122" s="492"/>
      <c r="E122" s="433">
        <f>VLOOKUP(B122,Treatments!$C$7:$J$407,8)</f>
        <v>0</v>
      </c>
      <c r="F122" s="435"/>
      <c r="G122" s="493"/>
      <c r="H122" s="433">
        <f t="shared" si="59"/>
        <v>0</v>
      </c>
      <c r="I122" s="411">
        <f t="shared" si="55"/>
        <v>0</v>
      </c>
      <c r="L122" s="305"/>
      <c r="M122" s="491" t="str">
        <f>VLOOKUP(L122,Treatments!$C$7:$J$407,2)</f>
        <v>No treatment</v>
      </c>
      <c r="N122" s="306"/>
      <c r="O122" s="433">
        <f>VLOOKUP(L122,Treatments!$C$7:$J$407,8)</f>
        <v>0</v>
      </c>
      <c r="P122" s="305"/>
      <c r="Q122" s="160"/>
      <c r="R122" s="308"/>
      <c r="S122" s="433">
        <f t="shared" si="66"/>
        <v>0</v>
      </c>
      <c r="T122" s="411">
        <f t="shared" si="67"/>
        <v>0</v>
      </c>
      <c r="U122" s="1"/>
      <c r="Y122" s="447">
        <f t="shared" si="56"/>
        <v>0</v>
      </c>
      <c r="Z122" s="491" t="str">
        <f>VLOOKUP(Y122,Treatments!$C$7:$J$407,2)</f>
        <v>No treatment</v>
      </c>
      <c r="AA122" s="495">
        <f t="shared" si="57"/>
        <v>0</v>
      </c>
      <c r="AB122" s="433">
        <f>VLOOKUP(Y122,Treatments!$C$7:$J$407,8)</f>
        <v>0</v>
      </c>
      <c r="AC122" s="495">
        <f t="shared" si="58"/>
        <v>0</v>
      </c>
      <c r="AD122" s="496">
        <f t="shared" si="58"/>
        <v>0</v>
      </c>
      <c r="AE122" s="433">
        <f t="shared" si="60"/>
        <v>0</v>
      </c>
      <c r="AF122" s="411">
        <f t="shared" si="48"/>
        <v>0</v>
      </c>
      <c r="AI122" s="447">
        <f t="shared" si="61"/>
        <v>0</v>
      </c>
      <c r="AJ122" s="491" t="str">
        <f>VLOOKUP(AI122,Treatments!$C$7:$J$407,2)</f>
        <v>No treatment</v>
      </c>
      <c r="AK122" s="495">
        <f t="shared" si="62"/>
        <v>0</v>
      </c>
      <c r="AL122" s="433">
        <f>VLOOKUP(AI122,Treatments!$C$7:$J$407,8)</f>
        <v>0</v>
      </c>
      <c r="AM122" s="495">
        <f t="shared" si="63"/>
        <v>0</v>
      </c>
      <c r="AN122" s="160"/>
      <c r="AO122" s="496">
        <f t="shared" si="64"/>
        <v>0</v>
      </c>
      <c r="AP122" s="433">
        <f t="shared" si="68"/>
        <v>0</v>
      </c>
      <c r="AQ122" s="411">
        <f t="shared" si="65"/>
        <v>0</v>
      </c>
      <c r="AR122" s="1"/>
    </row>
    <row r="123" spans="2:44" ht="15.75" x14ac:dyDescent="0.25">
      <c r="B123" s="435"/>
      <c r="C123" s="491" t="str">
        <f>IF(B123&lt;=0,"",VLOOKUP(B123,Treatments!$C$7:$J$407,2))</f>
        <v/>
      </c>
      <c r="D123" s="492"/>
      <c r="E123" s="433">
        <f>VLOOKUP(B123,Treatments!$C$7:$J$407,8)</f>
        <v>0</v>
      </c>
      <c r="F123" s="435"/>
      <c r="G123" s="493"/>
      <c r="H123" s="433">
        <f>D123*E123*F123*G123</f>
        <v>0</v>
      </c>
      <c r="I123" s="411">
        <f t="shared" si="55"/>
        <v>0</v>
      </c>
      <c r="L123" s="305"/>
      <c r="M123" s="491" t="str">
        <f>VLOOKUP(L123,Treatments!$C$7:$J$407,2)</f>
        <v>No treatment</v>
      </c>
      <c r="N123" s="306"/>
      <c r="O123" s="433">
        <f>VLOOKUP(L123,Treatments!$C$7:$J$407,8)</f>
        <v>0</v>
      </c>
      <c r="P123" s="305"/>
      <c r="Q123" s="160"/>
      <c r="R123" s="308"/>
      <c r="S123" s="433">
        <f t="shared" si="66"/>
        <v>0</v>
      </c>
      <c r="T123" s="411">
        <f t="shared" si="67"/>
        <v>0</v>
      </c>
      <c r="U123" s="1"/>
      <c r="Y123" s="447">
        <f t="shared" si="56"/>
        <v>0</v>
      </c>
      <c r="Z123" s="491" t="str">
        <f>VLOOKUP(Y123,Treatments!$C$7:$J$407,2)</f>
        <v>No treatment</v>
      </c>
      <c r="AA123" s="495">
        <f t="shared" si="57"/>
        <v>0</v>
      </c>
      <c r="AB123" s="433">
        <f>VLOOKUP(Y123,Treatments!$C$7:$J$407,8)</f>
        <v>0</v>
      </c>
      <c r="AC123" s="495">
        <f t="shared" si="58"/>
        <v>0</v>
      </c>
      <c r="AD123" s="496">
        <f t="shared" si="58"/>
        <v>0</v>
      </c>
      <c r="AE123" s="433">
        <f>AA123*AB123*AC123*AD123</f>
        <v>0</v>
      </c>
      <c r="AF123" s="411">
        <f t="shared" si="48"/>
        <v>0</v>
      </c>
      <c r="AI123" s="447">
        <f t="shared" si="61"/>
        <v>0</v>
      </c>
      <c r="AJ123" s="491" t="str">
        <f>VLOOKUP(AI123,Treatments!$C$7:$J$407,2)</f>
        <v>No treatment</v>
      </c>
      <c r="AK123" s="495">
        <f t="shared" si="62"/>
        <v>0</v>
      </c>
      <c r="AL123" s="433">
        <f>VLOOKUP(AI123,Treatments!$C$7:$J$407,8)</f>
        <v>0</v>
      </c>
      <c r="AM123" s="495">
        <f t="shared" si="63"/>
        <v>0</v>
      </c>
      <c r="AN123" s="160"/>
      <c r="AO123" s="496">
        <f t="shared" si="64"/>
        <v>0</v>
      </c>
      <c r="AP123" s="433">
        <f t="shared" si="68"/>
        <v>0</v>
      </c>
      <c r="AQ123" s="411">
        <f t="shared" si="65"/>
        <v>0</v>
      </c>
      <c r="AR123" s="1"/>
    </row>
    <row r="124" spans="2:44" ht="15.75" x14ac:dyDescent="0.25">
      <c r="B124" s="435"/>
      <c r="C124" s="491" t="str">
        <f>IF(B124&lt;=0,"",VLOOKUP(B124,Treatments!$C$7:$J$407,2))</f>
        <v/>
      </c>
      <c r="D124" s="492"/>
      <c r="E124" s="433">
        <f>VLOOKUP(B124,Treatments!$C$7:$J$407,8)</f>
        <v>0</v>
      </c>
      <c r="F124" s="435"/>
      <c r="G124" s="493"/>
      <c r="H124" s="433">
        <f>D124*E124*F124*G124</f>
        <v>0</v>
      </c>
      <c r="I124" s="411">
        <f t="shared" si="55"/>
        <v>0</v>
      </c>
      <c r="L124" s="305"/>
      <c r="M124" s="491" t="str">
        <f>VLOOKUP(L124,Treatments!$C$7:$J$407,2)</f>
        <v>No treatment</v>
      </c>
      <c r="N124" s="306"/>
      <c r="O124" s="433">
        <f>VLOOKUP(L124,Treatments!$C$7:$J$407,8)</f>
        <v>0</v>
      </c>
      <c r="P124" s="305"/>
      <c r="Q124" s="160"/>
      <c r="R124" s="308"/>
      <c r="S124" s="433">
        <f t="shared" si="66"/>
        <v>0</v>
      </c>
      <c r="T124" s="411">
        <f t="shared" si="67"/>
        <v>0</v>
      </c>
      <c r="U124" s="1"/>
      <c r="Y124" s="447">
        <f t="shared" si="56"/>
        <v>0</v>
      </c>
      <c r="Z124" s="491" t="str">
        <f>VLOOKUP(Y124,Treatments!$C$7:$J$407,2)</f>
        <v>No treatment</v>
      </c>
      <c r="AA124" s="495">
        <f t="shared" si="57"/>
        <v>0</v>
      </c>
      <c r="AB124" s="433">
        <f>VLOOKUP(Y124,Treatments!$C$7:$J$407,8)</f>
        <v>0</v>
      </c>
      <c r="AC124" s="495">
        <f t="shared" si="58"/>
        <v>0</v>
      </c>
      <c r="AD124" s="496">
        <f t="shared" si="58"/>
        <v>0</v>
      </c>
      <c r="AE124" s="433">
        <f>AA124*AB124*AC124*AD124</f>
        <v>0</v>
      </c>
      <c r="AF124" s="411">
        <f t="shared" si="48"/>
        <v>0</v>
      </c>
      <c r="AI124" s="447">
        <f t="shared" si="61"/>
        <v>0</v>
      </c>
      <c r="AJ124" s="491" t="str">
        <f>VLOOKUP(AI124,Treatments!$C$7:$J$407,2)</f>
        <v>No treatment</v>
      </c>
      <c r="AK124" s="495">
        <f t="shared" si="62"/>
        <v>0</v>
      </c>
      <c r="AL124" s="433">
        <f>VLOOKUP(AI124,Treatments!$C$7:$J$407,8)</f>
        <v>0</v>
      </c>
      <c r="AM124" s="495">
        <f t="shared" si="63"/>
        <v>0</v>
      </c>
      <c r="AN124" s="160"/>
      <c r="AO124" s="496">
        <f t="shared" si="64"/>
        <v>0</v>
      </c>
      <c r="AP124" s="433">
        <f t="shared" si="68"/>
        <v>0</v>
      </c>
      <c r="AQ124" s="411">
        <f t="shared" si="65"/>
        <v>0</v>
      </c>
      <c r="AR124" s="1"/>
    </row>
    <row r="125" spans="2:44" ht="15.75" x14ac:dyDescent="0.25">
      <c r="B125" s="1"/>
      <c r="C125" s="1"/>
      <c r="D125" s="1"/>
      <c r="E125" s="1"/>
      <c r="F125" s="1"/>
      <c r="G125" s="6"/>
      <c r="H125" s="1"/>
      <c r="I125" s="1"/>
      <c r="L125" s="305"/>
      <c r="M125" s="491" t="str">
        <f>VLOOKUP(L125,Treatments!$C$7:$J$407,2)</f>
        <v>No treatment</v>
      </c>
      <c r="N125" s="306"/>
      <c r="O125" s="433">
        <f>VLOOKUP(L125,Treatments!$C$7:$J$407,8)</f>
        <v>0</v>
      </c>
      <c r="P125" s="305"/>
      <c r="Q125" s="160"/>
      <c r="R125" s="308"/>
      <c r="S125" s="433">
        <f t="shared" si="66"/>
        <v>0</v>
      </c>
      <c r="T125" s="411">
        <f t="shared" si="67"/>
        <v>0</v>
      </c>
      <c r="U125" s="1"/>
      <c r="Y125" s="1"/>
      <c r="Z125" s="1"/>
      <c r="AA125" s="6"/>
      <c r="AB125" s="6"/>
      <c r="AC125" s="6"/>
      <c r="AD125" s="6"/>
      <c r="AE125" s="6"/>
      <c r="AF125" s="6"/>
      <c r="AI125" s="447">
        <f t="shared" si="61"/>
        <v>0</v>
      </c>
      <c r="AJ125" s="491" t="str">
        <f>VLOOKUP(AI125,Treatments!$C$7:$J$407,2)</f>
        <v>No treatment</v>
      </c>
      <c r="AK125" s="495">
        <f t="shared" si="62"/>
        <v>0</v>
      </c>
      <c r="AL125" s="433">
        <f>VLOOKUP(AI125,Treatments!$C$7:$J$407,8)</f>
        <v>0</v>
      </c>
      <c r="AM125" s="495">
        <f t="shared" si="63"/>
        <v>0</v>
      </c>
      <c r="AN125" s="160"/>
      <c r="AO125" s="496">
        <f t="shared" si="64"/>
        <v>0</v>
      </c>
      <c r="AP125" s="433">
        <f t="shared" si="68"/>
        <v>0</v>
      </c>
      <c r="AQ125" s="411">
        <f t="shared" si="65"/>
        <v>0</v>
      </c>
      <c r="AR125" s="1"/>
    </row>
    <row r="126" spans="2:44" ht="15.75" x14ac:dyDescent="0.25">
      <c r="B126" s="501" t="s">
        <v>994</v>
      </c>
      <c r="C126" s="502" t="s">
        <v>580</v>
      </c>
      <c r="D126" s="503" t="s">
        <v>616</v>
      </c>
      <c r="E126" s="501" t="s">
        <v>619</v>
      </c>
      <c r="F126" s="504" t="s">
        <v>617</v>
      </c>
      <c r="G126" s="504" t="s">
        <v>618</v>
      </c>
      <c r="H126" s="505"/>
      <c r="I126" s="506"/>
      <c r="L126" s="305"/>
      <c r="M126" s="491" t="str">
        <f>VLOOKUP(L126,Treatments!$C$7:$J$407,2)</f>
        <v>No treatment</v>
      </c>
      <c r="N126" s="306"/>
      <c r="O126" s="433">
        <f>VLOOKUP(L126,Treatments!$C$7:$J$407,8)</f>
        <v>0</v>
      </c>
      <c r="P126" s="305"/>
      <c r="Q126" s="160"/>
      <c r="R126" s="308"/>
      <c r="S126" s="433">
        <f t="shared" si="66"/>
        <v>0</v>
      </c>
      <c r="T126" s="411">
        <f t="shared" si="67"/>
        <v>0</v>
      </c>
      <c r="U126" s="1"/>
      <c r="Y126" s="6" t="s">
        <v>994</v>
      </c>
      <c r="Z126" s="5" t="s">
        <v>580</v>
      </c>
      <c r="AA126" s="6" t="s">
        <v>616</v>
      </c>
      <c r="AB126" s="6" t="s">
        <v>619</v>
      </c>
      <c r="AC126" s="6" t="s">
        <v>617</v>
      </c>
      <c r="AD126" s="6" t="s">
        <v>618</v>
      </c>
      <c r="AE126" s="507"/>
      <c r="AF126" s="508"/>
      <c r="AI126" s="447">
        <f t="shared" si="61"/>
        <v>0</v>
      </c>
      <c r="AJ126" s="491" t="str">
        <f>VLOOKUP(AI126,Treatments!$C$7:$J$407,2)</f>
        <v>No treatment</v>
      </c>
      <c r="AK126" s="495">
        <f t="shared" si="62"/>
        <v>0</v>
      </c>
      <c r="AL126" s="433">
        <f>VLOOKUP(AI126,Treatments!$C$7:$J$407,8)</f>
        <v>0</v>
      </c>
      <c r="AM126" s="495">
        <f t="shared" si="63"/>
        <v>0</v>
      </c>
      <c r="AN126" s="160"/>
      <c r="AO126" s="496">
        <f t="shared" si="64"/>
        <v>0</v>
      </c>
      <c r="AP126" s="433">
        <f t="shared" si="68"/>
        <v>0</v>
      </c>
      <c r="AQ126" s="411">
        <f t="shared" si="65"/>
        <v>0</v>
      </c>
      <c r="AR126" s="1"/>
    </row>
    <row r="127" spans="2:44" ht="15.75" x14ac:dyDescent="0.25">
      <c r="B127" s="435"/>
      <c r="C127" s="491" t="str">
        <f>IF(B127&lt;=0,"",VLOOKUP(B127,Treatments!$C$7:$J$407,2))</f>
        <v/>
      </c>
      <c r="D127" s="492"/>
      <c r="E127" s="433">
        <f>VLOOKUP(B127,Treatments!$C$7:$J$407,8)</f>
        <v>0</v>
      </c>
      <c r="F127" s="435"/>
      <c r="G127" s="493"/>
      <c r="H127" s="433">
        <f t="shared" ref="H127:H138" si="69">D127*E127*F127*G127</f>
        <v>0</v>
      </c>
      <c r="I127" s="411">
        <f>H127*$D$9</f>
        <v>0</v>
      </c>
      <c r="L127" s="305"/>
      <c r="M127" s="491" t="str">
        <f>VLOOKUP(L127,Treatments!$C$7:$J$407,2)</f>
        <v>No treatment</v>
      </c>
      <c r="N127" s="306"/>
      <c r="O127" s="433">
        <f>VLOOKUP(L127,Treatments!$C$7:$J$407,8)</f>
        <v>0</v>
      </c>
      <c r="P127" s="305"/>
      <c r="Q127" s="160"/>
      <c r="R127" s="308"/>
      <c r="S127" s="433">
        <f t="shared" si="66"/>
        <v>0</v>
      </c>
      <c r="T127" s="411">
        <f t="shared" si="67"/>
        <v>0</v>
      </c>
      <c r="U127" s="1"/>
      <c r="Y127" s="447">
        <f>IF(AND(B127&gt;=344,B127&lt;=358),B127+15,B127)</f>
        <v>0</v>
      </c>
      <c r="Z127" s="491" t="str">
        <f>VLOOKUP(Y127,Treatments!$C$7:$J$407,2)</f>
        <v>No treatment</v>
      </c>
      <c r="AA127" s="495">
        <f t="shared" ref="AA127:AA138" si="70">D127</f>
        <v>0</v>
      </c>
      <c r="AB127" s="433">
        <f>VLOOKUP(Y127,Treatments!$C$7:$J$407,8)</f>
        <v>0</v>
      </c>
      <c r="AC127" s="495">
        <f t="shared" ref="AC127:AD138" si="71">F127</f>
        <v>0</v>
      </c>
      <c r="AD127" s="496">
        <f t="shared" si="71"/>
        <v>0</v>
      </c>
      <c r="AE127" s="433">
        <f t="shared" ref="AE127:AE138" si="72">AA127*AB127*AC127*AD127</f>
        <v>0</v>
      </c>
      <c r="AF127" s="411">
        <f t="shared" ref="AF127:AF138" si="73">AE127*$D$9</f>
        <v>0</v>
      </c>
      <c r="AI127" s="447">
        <f t="shared" si="61"/>
        <v>0</v>
      </c>
      <c r="AJ127" s="491" t="str">
        <f>VLOOKUP(AI127,Treatments!$C$7:$J$407,2)</f>
        <v>No treatment</v>
      </c>
      <c r="AK127" s="495">
        <f t="shared" si="62"/>
        <v>0</v>
      </c>
      <c r="AL127" s="433">
        <f>VLOOKUP(AI127,Treatments!$C$7:$J$407,8)</f>
        <v>0</v>
      </c>
      <c r="AM127" s="495">
        <f t="shared" si="63"/>
        <v>0</v>
      </c>
      <c r="AN127" s="160"/>
      <c r="AO127" s="496">
        <f t="shared" si="64"/>
        <v>0</v>
      </c>
      <c r="AP127" s="433">
        <f t="shared" si="68"/>
        <v>0</v>
      </c>
      <c r="AQ127" s="411">
        <f t="shared" si="65"/>
        <v>0</v>
      </c>
      <c r="AR127" s="1"/>
    </row>
    <row r="128" spans="2:44" x14ac:dyDescent="0.2">
      <c r="B128" s="435"/>
      <c r="C128" s="491" t="str">
        <f>IF(B128&lt;=0,"",VLOOKUP(B128,Treatments!$C$7:$J$407,2))</f>
        <v/>
      </c>
      <c r="D128" s="492"/>
      <c r="E128" s="433">
        <f>VLOOKUP(B128,Treatments!$C$7:$J$407,8)</f>
        <v>0</v>
      </c>
      <c r="F128" s="435"/>
      <c r="G128" s="493"/>
      <c r="H128" s="433">
        <f t="shared" si="69"/>
        <v>0</v>
      </c>
      <c r="I128" s="411">
        <f t="shared" ref="I128:I138" si="74">H128*$D$9</f>
        <v>0</v>
      </c>
      <c r="L128" s="435"/>
      <c r="M128" s="491" t="str">
        <f>VLOOKUP(L128,Treatments!$C$7:$J$407,2)</f>
        <v>No treatment</v>
      </c>
      <c r="N128" s="492"/>
      <c r="O128" s="433">
        <f>VLOOKUP(L128,Treatments!$C$7:$J$407,8)</f>
        <v>0</v>
      </c>
      <c r="P128" s="435"/>
      <c r="Q128" s="160"/>
      <c r="R128" s="493"/>
      <c r="S128" s="433">
        <f t="shared" si="66"/>
        <v>0</v>
      </c>
      <c r="T128" s="411">
        <f t="shared" si="67"/>
        <v>0</v>
      </c>
      <c r="U128" s="1"/>
      <c r="Y128" s="447">
        <f t="shared" ref="Y128:Y138" si="75">IF(AND(B128&gt;=344,B128&lt;=358),B128+15,B128)</f>
        <v>0</v>
      </c>
      <c r="Z128" s="491" t="str">
        <f>VLOOKUP(Y128,Treatments!$C$7:$J$407,2)</f>
        <v>No treatment</v>
      </c>
      <c r="AA128" s="495">
        <f t="shared" si="70"/>
        <v>0</v>
      </c>
      <c r="AB128" s="433">
        <f>VLOOKUP(Y128,Treatments!$C$7:$J$407,8)</f>
        <v>0</v>
      </c>
      <c r="AC128" s="495">
        <f t="shared" si="71"/>
        <v>0</v>
      </c>
      <c r="AD128" s="496">
        <f t="shared" si="71"/>
        <v>0</v>
      </c>
      <c r="AE128" s="433">
        <f t="shared" si="72"/>
        <v>0</v>
      </c>
      <c r="AF128" s="411">
        <f t="shared" si="73"/>
        <v>0</v>
      </c>
      <c r="AI128" s="447">
        <f t="shared" si="61"/>
        <v>0</v>
      </c>
      <c r="AJ128" s="491" t="str">
        <f>VLOOKUP(AI128,Treatments!$C$7:$J$407,2)</f>
        <v>No treatment</v>
      </c>
      <c r="AK128" s="495">
        <f t="shared" si="62"/>
        <v>0</v>
      </c>
      <c r="AL128" s="433">
        <f>VLOOKUP(AI128,Treatments!$C$7:$J$407,8)</f>
        <v>0</v>
      </c>
      <c r="AM128" s="495">
        <f t="shared" si="63"/>
        <v>0</v>
      </c>
      <c r="AN128" s="160"/>
      <c r="AO128" s="496">
        <f t="shared" si="64"/>
        <v>0</v>
      </c>
      <c r="AP128" s="433">
        <f t="shared" si="68"/>
        <v>0</v>
      </c>
      <c r="AQ128" s="411">
        <f t="shared" si="65"/>
        <v>0</v>
      </c>
      <c r="AR128" s="1"/>
    </row>
    <row r="129" spans="2:44" x14ac:dyDescent="0.2">
      <c r="B129" s="435"/>
      <c r="C129" s="491" t="str">
        <f>IF(B129&lt;=0,"",VLOOKUP(B129,Treatments!$C$7:$J$407,2))</f>
        <v/>
      </c>
      <c r="D129" s="492"/>
      <c r="E129" s="433">
        <f>VLOOKUP(B129,Treatments!$C$7:$J$407,8)</f>
        <v>0</v>
      </c>
      <c r="F129" s="435"/>
      <c r="G129" s="493"/>
      <c r="H129" s="433">
        <f t="shared" si="69"/>
        <v>0</v>
      </c>
      <c r="I129" s="411">
        <f t="shared" si="74"/>
        <v>0</v>
      </c>
      <c r="L129" s="435"/>
      <c r="M129" s="491" t="str">
        <f>VLOOKUP(L129,Treatments!$C$7:$J$407,2)</f>
        <v>No treatment</v>
      </c>
      <c r="N129" s="492"/>
      <c r="O129" s="433">
        <f>VLOOKUP(L129,Treatments!$C$7:$J$407,8)</f>
        <v>0</v>
      </c>
      <c r="P129" s="435"/>
      <c r="Q129" s="498"/>
      <c r="R129" s="493"/>
      <c r="S129" s="433">
        <f t="shared" si="66"/>
        <v>0</v>
      </c>
      <c r="T129" s="411">
        <f t="shared" si="67"/>
        <v>0</v>
      </c>
      <c r="U129" s="1"/>
      <c r="Y129" s="447">
        <f t="shared" si="75"/>
        <v>0</v>
      </c>
      <c r="Z129" s="491" t="str">
        <f>VLOOKUP(Y129,Treatments!$C$7:$J$407,2)</f>
        <v>No treatment</v>
      </c>
      <c r="AA129" s="495">
        <f t="shared" si="70"/>
        <v>0</v>
      </c>
      <c r="AB129" s="433">
        <f>VLOOKUP(Y129,Treatments!$C$7:$J$407,8)</f>
        <v>0</v>
      </c>
      <c r="AC129" s="495">
        <f t="shared" si="71"/>
        <v>0</v>
      </c>
      <c r="AD129" s="496">
        <f t="shared" si="71"/>
        <v>0</v>
      </c>
      <c r="AE129" s="433">
        <f t="shared" si="72"/>
        <v>0</v>
      </c>
      <c r="AF129" s="411">
        <f t="shared" si="73"/>
        <v>0</v>
      </c>
      <c r="AI129" s="447">
        <f t="shared" si="61"/>
        <v>0</v>
      </c>
      <c r="AJ129" s="491" t="str">
        <f>VLOOKUP(AI129,Treatments!$C$7:$J$407,2)</f>
        <v>No treatment</v>
      </c>
      <c r="AK129" s="495">
        <f t="shared" si="62"/>
        <v>0</v>
      </c>
      <c r="AL129" s="433">
        <f>VLOOKUP(AI129,Treatments!$C$7:$J$407,8)</f>
        <v>0</v>
      </c>
      <c r="AM129" s="495">
        <f t="shared" si="63"/>
        <v>0</v>
      </c>
      <c r="AN129" s="498"/>
      <c r="AO129" s="496">
        <f t="shared" si="64"/>
        <v>0</v>
      </c>
      <c r="AP129" s="433">
        <f t="shared" si="68"/>
        <v>0</v>
      </c>
      <c r="AQ129" s="411">
        <f t="shared" si="65"/>
        <v>0</v>
      </c>
      <c r="AR129" s="1"/>
    </row>
    <row r="130" spans="2:44" x14ac:dyDescent="0.2">
      <c r="B130" s="435"/>
      <c r="C130" s="491" t="str">
        <f>IF(B130&lt;=0,"",VLOOKUP(B130,Treatments!$C$7:$J$407,2))</f>
        <v/>
      </c>
      <c r="D130" s="492"/>
      <c r="E130" s="433">
        <f>VLOOKUP(B130,Treatments!$C$7:$J$407,8)</f>
        <v>0</v>
      </c>
      <c r="F130" s="435"/>
      <c r="G130" s="493"/>
      <c r="H130" s="433">
        <f t="shared" si="69"/>
        <v>0</v>
      </c>
      <c r="I130" s="411">
        <f t="shared" si="74"/>
        <v>0</v>
      </c>
      <c r="L130" s="1"/>
      <c r="M130" s="1"/>
      <c r="N130" s="1"/>
      <c r="O130" s="1"/>
      <c r="P130" s="1"/>
      <c r="Q130" s="1"/>
      <c r="R130" s="6"/>
      <c r="S130" s="1"/>
      <c r="T130" s="1"/>
      <c r="U130" s="1"/>
      <c r="Y130" s="447">
        <f t="shared" si="75"/>
        <v>0</v>
      </c>
      <c r="Z130" s="491" t="str">
        <f>VLOOKUP(Y130,Treatments!$C$7:$J$407,2)</f>
        <v>No treatment</v>
      </c>
      <c r="AA130" s="495">
        <f t="shared" si="70"/>
        <v>0</v>
      </c>
      <c r="AB130" s="433">
        <f>VLOOKUP(Y130,Treatments!$C$7:$J$407,8)</f>
        <v>0</v>
      </c>
      <c r="AC130" s="495">
        <f t="shared" si="71"/>
        <v>0</v>
      </c>
      <c r="AD130" s="496">
        <f t="shared" si="71"/>
        <v>0</v>
      </c>
      <c r="AE130" s="433">
        <f t="shared" si="72"/>
        <v>0</v>
      </c>
      <c r="AF130" s="411">
        <f t="shared" si="73"/>
        <v>0</v>
      </c>
      <c r="AI130" s="509"/>
      <c r="AJ130" s="1"/>
      <c r="AK130" s="1"/>
      <c r="AL130" s="1"/>
      <c r="AM130" s="1"/>
      <c r="AN130" s="1"/>
      <c r="AO130" s="6"/>
      <c r="AP130" s="1"/>
      <c r="AQ130" s="1"/>
      <c r="AR130" s="1"/>
    </row>
    <row r="131" spans="2:44" ht="15.75" x14ac:dyDescent="0.25">
      <c r="B131" s="435"/>
      <c r="C131" s="491" t="str">
        <f>IF(B131&lt;=0,"",VLOOKUP(B131,Treatments!$C$7:$J$407,2))</f>
        <v/>
      </c>
      <c r="D131" s="492"/>
      <c r="E131" s="433">
        <f>VLOOKUP(B131,Treatments!$C$7:$J$407,8)</f>
        <v>0</v>
      </c>
      <c r="F131" s="435"/>
      <c r="G131" s="493"/>
      <c r="H131" s="433">
        <f t="shared" si="69"/>
        <v>0</v>
      </c>
      <c r="I131" s="411">
        <f t="shared" si="74"/>
        <v>0</v>
      </c>
      <c r="L131" s="482" t="s">
        <v>994</v>
      </c>
      <c r="M131" s="483" t="s">
        <v>581</v>
      </c>
      <c r="N131" s="484" t="s">
        <v>616</v>
      </c>
      <c r="O131" s="482" t="s">
        <v>619</v>
      </c>
      <c r="P131" s="485" t="s">
        <v>617</v>
      </c>
      <c r="Q131" s="482"/>
      <c r="R131" s="485" t="s">
        <v>618</v>
      </c>
      <c r="S131" s="487"/>
      <c r="T131" s="487"/>
      <c r="U131" s="1"/>
      <c r="Y131" s="447">
        <f t="shared" si="75"/>
        <v>0</v>
      </c>
      <c r="Z131" s="491" t="str">
        <f>VLOOKUP(Y131,Treatments!$C$7:$J$407,2)</f>
        <v>No treatment</v>
      </c>
      <c r="AA131" s="495">
        <f t="shared" si="70"/>
        <v>0</v>
      </c>
      <c r="AB131" s="433">
        <f>VLOOKUP(Y131,Treatments!$C$7:$J$407,8)</f>
        <v>0</v>
      </c>
      <c r="AC131" s="495">
        <f t="shared" si="71"/>
        <v>0</v>
      </c>
      <c r="AD131" s="496">
        <f t="shared" si="71"/>
        <v>0</v>
      </c>
      <c r="AE131" s="433">
        <f t="shared" si="72"/>
        <v>0</v>
      </c>
      <c r="AF131" s="411">
        <f t="shared" si="73"/>
        <v>0</v>
      </c>
      <c r="AI131" s="499" t="s">
        <v>994</v>
      </c>
      <c r="AJ131" s="5" t="s">
        <v>581</v>
      </c>
      <c r="AK131" s="14" t="s">
        <v>616</v>
      </c>
      <c r="AL131" s="6" t="s">
        <v>619</v>
      </c>
      <c r="AM131" s="1" t="s">
        <v>617</v>
      </c>
      <c r="AN131" s="6"/>
      <c r="AO131" s="1" t="s">
        <v>618</v>
      </c>
      <c r="AP131" s="500"/>
      <c r="AQ131" s="62"/>
      <c r="AR131" s="1"/>
    </row>
    <row r="132" spans="2:44" ht="15.75" x14ac:dyDescent="0.25">
      <c r="B132" s="435"/>
      <c r="C132" s="491" t="str">
        <f>IF(B132&lt;=0,"",VLOOKUP(B132,Treatments!$C$7:$J$407,2))</f>
        <v/>
      </c>
      <c r="D132" s="492"/>
      <c r="E132" s="433">
        <f>VLOOKUP(B132,Treatments!$C$7:$J$407,8)</f>
        <v>0</v>
      </c>
      <c r="F132" s="435"/>
      <c r="G132" s="493"/>
      <c r="H132" s="433">
        <f t="shared" si="69"/>
        <v>0</v>
      </c>
      <c r="I132" s="411">
        <f t="shared" si="74"/>
        <v>0</v>
      </c>
      <c r="L132" s="305"/>
      <c r="M132" s="491" t="str">
        <f>VLOOKUP(L132,Treatments!$C$7:$J$407,2)</f>
        <v>No treatment</v>
      </c>
      <c r="N132" s="306"/>
      <c r="O132" s="433">
        <f>VLOOKUP(L132,Treatments!$C$7:$J$407,8)</f>
        <v>0</v>
      </c>
      <c r="P132" s="305"/>
      <c r="Q132" s="494"/>
      <c r="R132" s="308"/>
      <c r="S132" s="433">
        <f t="shared" ref="S132:S137" si="76">N132*O132*P132*R132</f>
        <v>0</v>
      </c>
      <c r="T132" s="411">
        <f t="shared" ref="T132:T138" si="77">S132*$D$9</f>
        <v>0</v>
      </c>
      <c r="U132" s="1"/>
      <c r="Y132" s="447">
        <f t="shared" si="75"/>
        <v>0</v>
      </c>
      <c r="Z132" s="491" t="str">
        <f>VLOOKUP(Y132,Treatments!$C$7:$J$407,2)</f>
        <v>No treatment</v>
      </c>
      <c r="AA132" s="495">
        <f t="shared" si="70"/>
        <v>0</v>
      </c>
      <c r="AB132" s="433">
        <f>VLOOKUP(Y132,Treatments!$C$7:$J$407,8)</f>
        <v>0</v>
      </c>
      <c r="AC132" s="495">
        <f t="shared" si="71"/>
        <v>0</v>
      </c>
      <c r="AD132" s="496">
        <f t="shared" si="71"/>
        <v>0</v>
      </c>
      <c r="AE132" s="433">
        <f t="shared" si="72"/>
        <v>0</v>
      </c>
      <c r="AF132" s="411">
        <f t="shared" si="73"/>
        <v>0</v>
      </c>
      <c r="AI132" s="447">
        <f t="shared" ref="AI132:AI137" si="78">IF(AND(L132&gt;=344,L132&lt;=358),L132+15,L132)</f>
        <v>0</v>
      </c>
      <c r="AJ132" s="491" t="str">
        <f>VLOOKUP(AI132,Treatments!$C$7:$J$407,2)</f>
        <v>No treatment</v>
      </c>
      <c r="AK132" s="495">
        <f t="shared" ref="AK132:AK137" si="79">N132</f>
        <v>0</v>
      </c>
      <c r="AL132" s="433">
        <f>VLOOKUP(AI132,Treatments!$C$7:$J$407,8)</f>
        <v>0</v>
      </c>
      <c r="AM132" s="495">
        <f t="shared" ref="AM132:AM137" si="80">P132</f>
        <v>0</v>
      </c>
      <c r="AN132" s="494"/>
      <c r="AO132" s="496">
        <f t="shared" ref="AO132:AO137" si="81">R132</f>
        <v>0</v>
      </c>
      <c r="AP132" s="433">
        <f t="shared" ref="AP132:AP137" si="82">AK132*AL132*AM132*AO132</f>
        <v>0</v>
      </c>
      <c r="AQ132" s="411">
        <f t="shared" ref="AQ132:AQ137" si="83">AP132*$D$9</f>
        <v>0</v>
      </c>
      <c r="AR132" s="1"/>
    </row>
    <row r="133" spans="2:44" ht="15.75" x14ac:dyDescent="0.25">
      <c r="B133" s="435"/>
      <c r="C133" s="491" t="str">
        <f>IF(B133&lt;=0,"",VLOOKUP(B133,Treatments!$C$7:$J$407,2))</f>
        <v/>
      </c>
      <c r="D133" s="492"/>
      <c r="E133" s="433">
        <f>VLOOKUP(B133,Treatments!$C$7:$J$407,8)</f>
        <v>0</v>
      </c>
      <c r="F133" s="435"/>
      <c r="G133" s="493"/>
      <c r="H133" s="433">
        <f t="shared" si="69"/>
        <v>0</v>
      </c>
      <c r="I133" s="411">
        <f t="shared" si="74"/>
        <v>0</v>
      </c>
      <c r="L133" s="305"/>
      <c r="M133" s="491" t="str">
        <f>VLOOKUP(L133,Treatments!$C$7:$J$407,2)</f>
        <v>No treatment</v>
      </c>
      <c r="N133" s="306"/>
      <c r="O133" s="433">
        <f>VLOOKUP(L133,Treatments!$C$7:$J$407,8)</f>
        <v>0</v>
      </c>
      <c r="P133" s="305"/>
      <c r="Q133" s="160"/>
      <c r="R133" s="308"/>
      <c r="S133" s="433">
        <f t="shared" si="76"/>
        <v>0</v>
      </c>
      <c r="T133" s="411">
        <f t="shared" si="77"/>
        <v>0</v>
      </c>
      <c r="U133" s="1"/>
      <c r="Y133" s="447">
        <f t="shared" si="75"/>
        <v>0</v>
      </c>
      <c r="Z133" s="491" t="str">
        <f>VLOOKUP(Y133,Treatments!$C$7:$J$407,2)</f>
        <v>No treatment</v>
      </c>
      <c r="AA133" s="495">
        <f t="shared" si="70"/>
        <v>0</v>
      </c>
      <c r="AB133" s="433">
        <f>VLOOKUP(Y133,Treatments!$C$7:$J$407,8)</f>
        <v>0</v>
      </c>
      <c r="AC133" s="495">
        <f t="shared" si="71"/>
        <v>0</v>
      </c>
      <c r="AD133" s="496">
        <f t="shared" si="71"/>
        <v>0</v>
      </c>
      <c r="AE133" s="433">
        <f t="shared" si="72"/>
        <v>0</v>
      </c>
      <c r="AF133" s="411">
        <f t="shared" si="73"/>
        <v>0</v>
      </c>
      <c r="AI133" s="447">
        <f t="shared" si="78"/>
        <v>0</v>
      </c>
      <c r="AJ133" s="491" t="str">
        <f>VLOOKUP(AI133,Treatments!$C$7:$J$407,2)</f>
        <v>No treatment</v>
      </c>
      <c r="AK133" s="495">
        <f t="shared" si="79"/>
        <v>0</v>
      </c>
      <c r="AL133" s="433">
        <f>VLOOKUP(AI133,Treatments!$C$7:$J$407,8)</f>
        <v>0</v>
      </c>
      <c r="AM133" s="495">
        <f t="shared" si="80"/>
        <v>0</v>
      </c>
      <c r="AN133" s="160"/>
      <c r="AO133" s="496">
        <f t="shared" si="81"/>
        <v>0</v>
      </c>
      <c r="AP133" s="433">
        <f t="shared" si="82"/>
        <v>0</v>
      </c>
      <c r="AQ133" s="411">
        <f t="shared" si="83"/>
        <v>0</v>
      </c>
      <c r="AR133" s="1"/>
    </row>
    <row r="134" spans="2:44" ht="15.75" x14ac:dyDescent="0.25">
      <c r="B134" s="435"/>
      <c r="C134" s="491" t="str">
        <f>IF(B134&lt;=0,"",VLOOKUP(B134,Treatments!$C$7:$J$407,2))</f>
        <v/>
      </c>
      <c r="D134" s="492"/>
      <c r="E134" s="433">
        <f>VLOOKUP(B134,Treatments!$C$7:$J$407,8)</f>
        <v>0</v>
      </c>
      <c r="F134" s="435"/>
      <c r="G134" s="493"/>
      <c r="H134" s="433">
        <f t="shared" si="69"/>
        <v>0</v>
      </c>
      <c r="I134" s="411">
        <f t="shared" si="74"/>
        <v>0</v>
      </c>
      <c r="L134" s="305"/>
      <c r="M134" s="491" t="str">
        <f>VLOOKUP(L134,Treatments!$C$7:$J$407,2)</f>
        <v>No treatment</v>
      </c>
      <c r="N134" s="306"/>
      <c r="O134" s="433">
        <f>VLOOKUP(L134,Treatments!$C$7:$J$407,8)</f>
        <v>0</v>
      </c>
      <c r="P134" s="305"/>
      <c r="Q134" s="160"/>
      <c r="R134" s="308"/>
      <c r="S134" s="433">
        <f t="shared" si="76"/>
        <v>0</v>
      </c>
      <c r="T134" s="411">
        <f t="shared" si="77"/>
        <v>0</v>
      </c>
      <c r="U134" s="1"/>
      <c r="Y134" s="447">
        <f t="shared" si="75"/>
        <v>0</v>
      </c>
      <c r="Z134" s="491" t="str">
        <f>VLOOKUP(Y134,Treatments!$C$7:$J$407,2)</f>
        <v>No treatment</v>
      </c>
      <c r="AA134" s="495">
        <f t="shared" si="70"/>
        <v>0</v>
      </c>
      <c r="AB134" s="433">
        <f>VLOOKUP(Y134,Treatments!$C$7:$J$407,8)</f>
        <v>0</v>
      </c>
      <c r="AC134" s="495">
        <f t="shared" si="71"/>
        <v>0</v>
      </c>
      <c r="AD134" s="496">
        <f t="shared" si="71"/>
        <v>0</v>
      </c>
      <c r="AE134" s="433">
        <f t="shared" si="72"/>
        <v>0</v>
      </c>
      <c r="AF134" s="411">
        <f t="shared" si="73"/>
        <v>0</v>
      </c>
      <c r="AI134" s="447">
        <f t="shared" si="78"/>
        <v>0</v>
      </c>
      <c r="AJ134" s="491" t="str">
        <f>VLOOKUP(AI134,Treatments!$C$7:$J$407,2)</f>
        <v>No treatment</v>
      </c>
      <c r="AK134" s="495">
        <f t="shared" si="79"/>
        <v>0</v>
      </c>
      <c r="AL134" s="433">
        <f>VLOOKUP(AI134,Treatments!$C$7:$J$407,8)</f>
        <v>0</v>
      </c>
      <c r="AM134" s="495">
        <f t="shared" si="80"/>
        <v>0</v>
      </c>
      <c r="AN134" s="160"/>
      <c r="AO134" s="496">
        <f t="shared" si="81"/>
        <v>0</v>
      </c>
      <c r="AP134" s="433">
        <f t="shared" si="82"/>
        <v>0</v>
      </c>
      <c r="AQ134" s="411">
        <f t="shared" si="83"/>
        <v>0</v>
      </c>
      <c r="AR134" s="1"/>
    </row>
    <row r="135" spans="2:44" ht="15.75" x14ac:dyDescent="0.25">
      <c r="B135" s="435"/>
      <c r="C135" s="491" t="str">
        <f>IF(B135&lt;=0,"",VLOOKUP(B135,Treatments!$C$7:$J$407,2))</f>
        <v/>
      </c>
      <c r="D135" s="492"/>
      <c r="E135" s="433">
        <f>VLOOKUP(B135,Treatments!$C$7:$J$407,8)</f>
        <v>0</v>
      </c>
      <c r="F135" s="435"/>
      <c r="G135" s="493"/>
      <c r="H135" s="433">
        <f t="shared" si="69"/>
        <v>0</v>
      </c>
      <c r="I135" s="411">
        <f t="shared" si="74"/>
        <v>0</v>
      </c>
      <c r="L135" s="305"/>
      <c r="M135" s="491" t="str">
        <f>VLOOKUP(L135,Treatments!$C$7:$J$407,2)</f>
        <v>No treatment</v>
      </c>
      <c r="N135" s="306"/>
      <c r="O135" s="433">
        <f>VLOOKUP(L135,Treatments!$C$7:$J$407,8)</f>
        <v>0</v>
      </c>
      <c r="P135" s="305"/>
      <c r="Q135" s="160"/>
      <c r="R135" s="308"/>
      <c r="S135" s="433">
        <f t="shared" si="76"/>
        <v>0</v>
      </c>
      <c r="T135" s="411">
        <f t="shared" si="77"/>
        <v>0</v>
      </c>
      <c r="U135" s="1"/>
      <c r="Y135" s="447">
        <f t="shared" si="75"/>
        <v>0</v>
      </c>
      <c r="Z135" s="491" t="str">
        <f>VLOOKUP(Y135,Treatments!$C$7:$J$407,2)</f>
        <v>No treatment</v>
      </c>
      <c r="AA135" s="495">
        <f t="shared" si="70"/>
        <v>0</v>
      </c>
      <c r="AB135" s="433">
        <f>VLOOKUP(Y135,Treatments!$C$7:$J$407,8)</f>
        <v>0</v>
      </c>
      <c r="AC135" s="495">
        <f t="shared" si="71"/>
        <v>0</v>
      </c>
      <c r="AD135" s="496">
        <f t="shared" si="71"/>
        <v>0</v>
      </c>
      <c r="AE135" s="433">
        <f t="shared" si="72"/>
        <v>0</v>
      </c>
      <c r="AF135" s="411">
        <f t="shared" si="73"/>
        <v>0</v>
      </c>
      <c r="AI135" s="447">
        <f t="shared" si="78"/>
        <v>0</v>
      </c>
      <c r="AJ135" s="491" t="str">
        <f>VLOOKUP(AI135,Treatments!$C$7:$J$407,2)</f>
        <v>No treatment</v>
      </c>
      <c r="AK135" s="495">
        <f t="shared" si="79"/>
        <v>0</v>
      </c>
      <c r="AL135" s="433">
        <f>VLOOKUP(AI135,Treatments!$C$7:$J$407,8)</f>
        <v>0</v>
      </c>
      <c r="AM135" s="495">
        <f t="shared" si="80"/>
        <v>0</v>
      </c>
      <c r="AN135" s="160"/>
      <c r="AO135" s="496">
        <f t="shared" si="81"/>
        <v>0</v>
      </c>
      <c r="AP135" s="433">
        <f t="shared" si="82"/>
        <v>0</v>
      </c>
      <c r="AQ135" s="411">
        <f t="shared" si="83"/>
        <v>0</v>
      </c>
      <c r="AR135" s="1"/>
    </row>
    <row r="136" spans="2:44" ht="15.75" x14ac:dyDescent="0.25">
      <c r="B136" s="435"/>
      <c r="C136" s="491" t="str">
        <f>IF(B136&lt;=0,"",VLOOKUP(B136,Treatments!$C$7:$J$407,2))</f>
        <v/>
      </c>
      <c r="D136" s="492"/>
      <c r="E136" s="433">
        <f>VLOOKUP(B136,Treatments!$C$7:$J$407,8)</f>
        <v>0</v>
      </c>
      <c r="F136" s="435"/>
      <c r="G136" s="493"/>
      <c r="H136" s="433">
        <f t="shared" si="69"/>
        <v>0</v>
      </c>
      <c r="I136" s="411">
        <f t="shared" si="74"/>
        <v>0</v>
      </c>
      <c r="L136" s="435"/>
      <c r="M136" s="491" t="str">
        <f>VLOOKUP(L136,Treatments!$C$7:$J$407,2)</f>
        <v>No treatment</v>
      </c>
      <c r="N136" s="492"/>
      <c r="O136" s="433">
        <f>VLOOKUP(L136,Treatments!$C$7:$J$407,8)</f>
        <v>0</v>
      </c>
      <c r="P136" s="435"/>
      <c r="Q136" s="160"/>
      <c r="R136" s="308"/>
      <c r="S136" s="433">
        <f t="shared" si="76"/>
        <v>0</v>
      </c>
      <c r="T136" s="411">
        <f t="shared" si="77"/>
        <v>0</v>
      </c>
      <c r="U136" s="1"/>
      <c r="Y136" s="447">
        <f t="shared" si="75"/>
        <v>0</v>
      </c>
      <c r="Z136" s="491" t="str">
        <f>VLOOKUP(Y136,Treatments!$C$7:$J$407,2)</f>
        <v>No treatment</v>
      </c>
      <c r="AA136" s="495">
        <f t="shared" si="70"/>
        <v>0</v>
      </c>
      <c r="AB136" s="433">
        <f>VLOOKUP(Y136,Treatments!$C$7:$J$407,8)</f>
        <v>0</v>
      </c>
      <c r="AC136" s="495">
        <f t="shared" si="71"/>
        <v>0</v>
      </c>
      <c r="AD136" s="496">
        <f t="shared" si="71"/>
        <v>0</v>
      </c>
      <c r="AE136" s="433">
        <f t="shared" si="72"/>
        <v>0</v>
      </c>
      <c r="AF136" s="411">
        <f t="shared" si="73"/>
        <v>0</v>
      </c>
      <c r="AI136" s="447">
        <f t="shared" si="78"/>
        <v>0</v>
      </c>
      <c r="AJ136" s="491" t="str">
        <f>VLOOKUP(AI136,Treatments!$C$7:$J$407,2)</f>
        <v>No treatment</v>
      </c>
      <c r="AK136" s="495">
        <f t="shared" si="79"/>
        <v>0</v>
      </c>
      <c r="AL136" s="433">
        <f>VLOOKUP(AI136,Treatments!$C$7:$J$407,8)</f>
        <v>0</v>
      </c>
      <c r="AM136" s="495">
        <f t="shared" si="80"/>
        <v>0</v>
      </c>
      <c r="AN136" s="160"/>
      <c r="AO136" s="496">
        <f t="shared" si="81"/>
        <v>0</v>
      </c>
      <c r="AP136" s="433">
        <f t="shared" si="82"/>
        <v>0</v>
      </c>
      <c r="AQ136" s="411">
        <f t="shared" si="83"/>
        <v>0</v>
      </c>
      <c r="AR136" s="1"/>
    </row>
    <row r="137" spans="2:44" x14ac:dyDescent="0.2">
      <c r="B137" s="435"/>
      <c r="C137" s="491" t="str">
        <f>IF(B137&lt;=0,"",VLOOKUP(B137,Treatments!$C$7:$J$407,2))</f>
        <v/>
      </c>
      <c r="D137" s="492"/>
      <c r="E137" s="433">
        <f>VLOOKUP(B137,Treatments!$C$7:$J$407,8)</f>
        <v>0</v>
      </c>
      <c r="F137" s="435"/>
      <c r="G137" s="493"/>
      <c r="H137" s="433">
        <f t="shared" si="69"/>
        <v>0</v>
      </c>
      <c r="I137" s="411">
        <f t="shared" si="74"/>
        <v>0</v>
      </c>
      <c r="L137" s="435"/>
      <c r="M137" s="491" t="str">
        <f>VLOOKUP(L137,Treatments!$C$7:$J$407,2)</f>
        <v>No treatment</v>
      </c>
      <c r="N137" s="492"/>
      <c r="O137" s="433">
        <f>VLOOKUP(L137,Treatments!$C$7:$J$407,8)</f>
        <v>0</v>
      </c>
      <c r="P137" s="435"/>
      <c r="Q137" s="498"/>
      <c r="R137" s="493"/>
      <c r="S137" s="433">
        <f t="shared" si="76"/>
        <v>0</v>
      </c>
      <c r="T137" s="411">
        <f t="shared" si="77"/>
        <v>0</v>
      </c>
      <c r="U137" s="1"/>
      <c r="Y137" s="447">
        <f t="shared" si="75"/>
        <v>0</v>
      </c>
      <c r="Z137" s="491" t="str">
        <f>VLOOKUP(Y137,Treatments!$C$7:$J$407,2)</f>
        <v>No treatment</v>
      </c>
      <c r="AA137" s="495">
        <f t="shared" si="70"/>
        <v>0</v>
      </c>
      <c r="AB137" s="433">
        <f>VLOOKUP(Y137,Treatments!$C$7:$J$407,8)</f>
        <v>0</v>
      </c>
      <c r="AC137" s="495">
        <f t="shared" si="71"/>
        <v>0</v>
      </c>
      <c r="AD137" s="496">
        <f t="shared" si="71"/>
        <v>0</v>
      </c>
      <c r="AE137" s="433">
        <f t="shared" si="72"/>
        <v>0</v>
      </c>
      <c r="AF137" s="411">
        <f t="shared" si="73"/>
        <v>0</v>
      </c>
      <c r="AI137" s="447">
        <f t="shared" si="78"/>
        <v>0</v>
      </c>
      <c r="AJ137" s="491" t="str">
        <f>VLOOKUP(AI137,Treatments!$C$7:$J$407,2)</f>
        <v>No treatment</v>
      </c>
      <c r="AK137" s="495">
        <f t="shared" si="79"/>
        <v>0</v>
      </c>
      <c r="AL137" s="433">
        <f>VLOOKUP(AI137,Treatments!$C$7:$J$407,8)</f>
        <v>0</v>
      </c>
      <c r="AM137" s="495">
        <f t="shared" si="80"/>
        <v>0</v>
      </c>
      <c r="AN137" s="498"/>
      <c r="AO137" s="496">
        <f t="shared" si="81"/>
        <v>0</v>
      </c>
      <c r="AP137" s="433">
        <f t="shared" si="82"/>
        <v>0</v>
      </c>
      <c r="AQ137" s="411">
        <f t="shared" si="83"/>
        <v>0</v>
      </c>
      <c r="AR137" s="1"/>
    </row>
    <row r="138" spans="2:44" ht="15.75" x14ac:dyDescent="0.25">
      <c r="B138" s="435"/>
      <c r="C138" s="491" t="str">
        <f>IF(B138&lt;=0,"",VLOOKUP(B138,Treatments!$C$7:$J$407,2))</f>
        <v/>
      </c>
      <c r="D138" s="492"/>
      <c r="E138" s="433">
        <f>VLOOKUP(B138,Treatments!$C$7:$J$407,8)</f>
        <v>0</v>
      </c>
      <c r="F138" s="435"/>
      <c r="G138" s="493"/>
      <c r="H138" s="433">
        <f t="shared" si="69"/>
        <v>0</v>
      </c>
      <c r="I138" s="411">
        <f t="shared" si="74"/>
        <v>0</v>
      </c>
      <c r="L138" s="1"/>
      <c r="M138" s="14"/>
      <c r="N138" s="13" t="s">
        <v>584</v>
      </c>
      <c r="O138" s="6"/>
      <c r="P138" s="1"/>
      <c r="Q138" s="6"/>
      <c r="R138" s="1"/>
      <c r="S138" s="510">
        <f>SUM(S110:S137)</f>
        <v>0</v>
      </c>
      <c r="T138" s="411">
        <f t="shared" si="77"/>
        <v>0</v>
      </c>
      <c r="U138" s="1"/>
      <c r="Y138" s="447">
        <f t="shared" si="75"/>
        <v>0</v>
      </c>
      <c r="Z138" s="491" t="str">
        <f>VLOOKUP(Y138,Treatments!$C$7:$J$407,2)</f>
        <v>No treatment</v>
      </c>
      <c r="AA138" s="495">
        <f t="shared" si="70"/>
        <v>0</v>
      </c>
      <c r="AB138" s="433">
        <f>VLOOKUP(Y138,Treatments!$C$7:$J$407,8)</f>
        <v>0</v>
      </c>
      <c r="AC138" s="495">
        <f t="shared" si="71"/>
        <v>0</v>
      </c>
      <c r="AD138" s="496">
        <f t="shared" si="71"/>
        <v>0</v>
      </c>
      <c r="AE138" s="433">
        <f t="shared" si="72"/>
        <v>0</v>
      </c>
      <c r="AF138" s="411">
        <f t="shared" si="73"/>
        <v>0</v>
      </c>
      <c r="AI138" s="1"/>
      <c r="AJ138" s="14"/>
      <c r="AK138" s="13" t="s">
        <v>584</v>
      </c>
      <c r="AL138" s="6"/>
      <c r="AM138" s="1"/>
      <c r="AN138" s="6"/>
      <c r="AO138" s="1"/>
      <c r="AP138" s="510">
        <f>SUM(AP110:AP137)</f>
        <v>0</v>
      </c>
      <c r="AQ138" s="510">
        <f>SUM(AQ110:AQ137)</f>
        <v>0</v>
      </c>
      <c r="AR138" s="1"/>
    </row>
    <row r="139" spans="2:44" x14ac:dyDescent="0.2">
      <c r="B139" s="1"/>
      <c r="C139" s="1"/>
      <c r="D139" s="1"/>
      <c r="E139" s="1"/>
      <c r="F139" s="1"/>
      <c r="G139" s="6"/>
      <c r="H139" s="1"/>
      <c r="I139" s="1"/>
      <c r="L139" s="1"/>
      <c r="M139" s="1"/>
      <c r="N139" s="1"/>
      <c r="O139" s="1"/>
      <c r="P139" s="1"/>
      <c r="Q139" s="1"/>
      <c r="R139" s="1"/>
      <c r="S139" s="1"/>
      <c r="T139" s="1"/>
      <c r="U139" s="1"/>
      <c r="Y139" s="1"/>
      <c r="Z139" s="1"/>
      <c r="AA139" s="6"/>
      <c r="AB139" s="6"/>
      <c r="AC139" s="6"/>
      <c r="AD139" s="6"/>
      <c r="AE139" s="6"/>
      <c r="AF139" s="6"/>
      <c r="AI139" s="1"/>
      <c r="AJ139" s="1"/>
      <c r="AK139" s="1"/>
      <c r="AL139" s="1"/>
      <c r="AM139" s="1"/>
      <c r="AN139" s="1"/>
      <c r="AO139" s="1"/>
      <c r="AP139" s="1"/>
      <c r="AQ139" s="1"/>
      <c r="AR139" s="1"/>
    </row>
    <row r="140" spans="2:44" ht="15.75" x14ac:dyDescent="0.25">
      <c r="B140" s="501" t="s">
        <v>994</v>
      </c>
      <c r="C140" s="502" t="s">
        <v>581</v>
      </c>
      <c r="D140" s="503" t="s">
        <v>616</v>
      </c>
      <c r="E140" s="501" t="s">
        <v>619</v>
      </c>
      <c r="F140" s="504" t="s">
        <v>617</v>
      </c>
      <c r="G140" s="504" t="s">
        <v>618</v>
      </c>
      <c r="H140" s="505"/>
      <c r="I140" s="506"/>
      <c r="L140" s="1"/>
      <c r="M140" s="1"/>
      <c r="N140" s="1"/>
      <c r="O140" s="1"/>
      <c r="P140" s="1"/>
      <c r="Q140" s="1"/>
      <c r="R140" s="1"/>
      <c r="S140" s="511"/>
      <c r="T140" s="512"/>
      <c r="U140" s="1"/>
      <c r="Y140" s="6" t="s">
        <v>994</v>
      </c>
      <c r="Z140" s="5" t="s">
        <v>581</v>
      </c>
      <c r="AA140" s="6" t="s">
        <v>616</v>
      </c>
      <c r="AB140" s="6" t="s">
        <v>619</v>
      </c>
      <c r="AC140" s="6" t="s">
        <v>617</v>
      </c>
      <c r="AD140" s="6" t="s">
        <v>618</v>
      </c>
      <c r="AE140" s="507"/>
      <c r="AF140" s="508"/>
      <c r="AI140" s="1"/>
      <c r="AJ140" s="1"/>
      <c r="AK140" s="1"/>
      <c r="AL140" s="1"/>
      <c r="AM140" s="1"/>
      <c r="AN140" s="1"/>
      <c r="AO140" s="1"/>
      <c r="AP140" s="511"/>
      <c r="AQ140" s="512"/>
      <c r="AR140" s="1"/>
    </row>
    <row r="141" spans="2:44" ht="15.75" x14ac:dyDescent="0.25">
      <c r="B141" s="305"/>
      <c r="C141" s="491" t="str">
        <f>IF(B141&lt;=0,"",VLOOKUP(B141,Treatments!$C$7:$J$407,2))</f>
        <v/>
      </c>
      <c r="D141" s="306"/>
      <c r="E141" s="433">
        <f>VLOOKUP(B141,Treatments!$C$7:$J$407,8)</f>
        <v>0</v>
      </c>
      <c r="F141" s="305"/>
      <c r="G141" s="308"/>
      <c r="H141" s="433">
        <f t="shared" ref="H141:H147" si="84">D141*E141*F141*G141</f>
        <v>0</v>
      </c>
      <c r="I141" s="411">
        <f>H141*$D$9</f>
        <v>0</v>
      </c>
      <c r="L141" s="1"/>
      <c r="N141" s="1"/>
      <c r="O141" s="1"/>
      <c r="P141" s="1"/>
      <c r="Q141" s="1"/>
      <c r="R141" s="12" t="s">
        <v>794</v>
      </c>
      <c r="S141" s="513"/>
      <c r="T141" s="510">
        <f>S141*$D$9</f>
        <v>0</v>
      </c>
      <c r="U141" s="1"/>
      <c r="Y141" s="447">
        <f t="shared" ref="Y141:Y146" si="85">IF(AND(B141&gt;=344,B141&lt;=358),B141+15,B141)</f>
        <v>0</v>
      </c>
      <c r="Z141" s="491" t="str">
        <f>VLOOKUP(Y141,Treatments!$C$7:$J$407,2)</f>
        <v>No treatment</v>
      </c>
      <c r="AA141" s="495">
        <f>D141</f>
        <v>0</v>
      </c>
      <c r="AB141" s="433">
        <f>VLOOKUP(Y141,Treatments!$C$7:$J$407,8)</f>
        <v>0</v>
      </c>
      <c r="AC141" s="495">
        <f>F141</f>
        <v>0</v>
      </c>
      <c r="AD141" s="496">
        <f t="shared" ref="AD141:AD147" si="86">G141</f>
        <v>0</v>
      </c>
      <c r="AE141" s="433">
        <f t="shared" ref="AE141:AE147" si="87">AA141*AB141*AC141*AD141</f>
        <v>0</v>
      </c>
      <c r="AF141" s="411">
        <f t="shared" ref="AF141:AF147" si="88">AE141*$D$9</f>
        <v>0</v>
      </c>
      <c r="AI141" s="1"/>
      <c r="AK141" s="1"/>
      <c r="AL141" s="1"/>
      <c r="AM141" s="1"/>
      <c r="AN141" s="1"/>
      <c r="AO141" s="12" t="s">
        <v>794</v>
      </c>
      <c r="AP141" s="510">
        <f>S141</f>
        <v>0</v>
      </c>
      <c r="AQ141" s="510">
        <f>AP141*$D$9</f>
        <v>0</v>
      </c>
      <c r="AR141" s="1"/>
    </row>
    <row r="142" spans="2:44" ht="15.75" x14ac:dyDescent="0.25">
      <c r="B142" s="305"/>
      <c r="C142" s="491" t="str">
        <f>IF(B142&lt;=0,"",VLOOKUP(B142,Treatments!$C$7:$J$407,2))</f>
        <v/>
      </c>
      <c r="D142" s="306"/>
      <c r="E142" s="433">
        <f>VLOOKUP(B142,Treatments!$C$7:$J$407,8)</f>
        <v>0</v>
      </c>
      <c r="F142" s="305"/>
      <c r="G142" s="308"/>
      <c r="H142" s="433">
        <f t="shared" si="84"/>
        <v>0</v>
      </c>
      <c r="I142" s="411">
        <f t="shared" ref="I142:I147" si="89">H142*$D$9</f>
        <v>0</v>
      </c>
      <c r="L142" s="1"/>
      <c r="M142" s="1"/>
      <c r="N142" s="1"/>
      <c r="O142" s="1"/>
      <c r="P142" s="1"/>
      <c r="Q142" s="12" t="s">
        <v>585</v>
      </c>
      <c r="R142" s="514">
        <v>0.05</v>
      </c>
      <c r="S142" s="510">
        <f>S141+S140+S138</f>
        <v>0</v>
      </c>
      <c r="T142" s="510">
        <f>T141+T140+T138</f>
        <v>0</v>
      </c>
      <c r="U142" s="1"/>
      <c r="Y142" s="447">
        <f t="shared" si="85"/>
        <v>0</v>
      </c>
      <c r="Z142" s="491" t="str">
        <f>VLOOKUP(Y142,Treatments!$C$7:$J$407,2)</f>
        <v>No treatment</v>
      </c>
      <c r="AA142" s="495">
        <f t="shared" ref="AA142:AA147" si="90">D142</f>
        <v>0</v>
      </c>
      <c r="AB142" s="433">
        <f>VLOOKUP(Y142,Treatments!$C$7:$J$407,8)</f>
        <v>0</v>
      </c>
      <c r="AC142" s="495">
        <f t="shared" ref="AC142:AC147" si="91">F142</f>
        <v>0</v>
      </c>
      <c r="AD142" s="496">
        <f t="shared" si="86"/>
        <v>0</v>
      </c>
      <c r="AE142" s="433">
        <f t="shared" si="87"/>
        <v>0</v>
      </c>
      <c r="AF142" s="411">
        <f t="shared" si="88"/>
        <v>0</v>
      </c>
      <c r="AI142" s="1"/>
      <c r="AJ142" s="1"/>
      <c r="AK142" s="1"/>
      <c r="AL142" s="1"/>
      <c r="AM142" s="1"/>
      <c r="AN142" s="12" t="s">
        <v>585</v>
      </c>
      <c r="AO142" s="496">
        <f>R142</f>
        <v>0.05</v>
      </c>
      <c r="AP142" s="510">
        <f>AP141+AP140+AP138</f>
        <v>0</v>
      </c>
      <c r="AQ142" s="510">
        <f>AQ141+AQ140+AQ138</f>
        <v>0</v>
      </c>
      <c r="AR142" s="1"/>
    </row>
    <row r="143" spans="2:44" ht="15.75" x14ac:dyDescent="0.25">
      <c r="B143" s="305"/>
      <c r="C143" s="491" t="str">
        <f>IF(B143&lt;=0,"",VLOOKUP(B143,Treatments!$C$7:$J$407,2))</f>
        <v/>
      </c>
      <c r="D143" s="306"/>
      <c r="E143" s="433">
        <f>VLOOKUP(B143,Treatments!$C$7:$J$407,8)</f>
        <v>0</v>
      </c>
      <c r="F143" s="305"/>
      <c r="G143" s="308"/>
      <c r="H143" s="433">
        <f t="shared" si="84"/>
        <v>0</v>
      </c>
      <c r="I143" s="411">
        <f t="shared" si="89"/>
        <v>0</v>
      </c>
      <c r="L143" s="1"/>
      <c r="N143" s="1"/>
      <c r="O143" s="17" t="s">
        <v>586</v>
      </c>
      <c r="P143" s="12" t="s">
        <v>587</v>
      </c>
      <c r="Q143" s="420">
        <v>30</v>
      </c>
      <c r="R143" s="1" t="s">
        <v>588</v>
      </c>
      <c r="S143" s="511">
        <f>PMT(R142,Q143,S142)*-1</f>
        <v>0</v>
      </c>
      <c r="T143" s="1" t="s">
        <v>589</v>
      </c>
      <c r="U143" s="1"/>
      <c r="Y143" s="447">
        <f t="shared" si="85"/>
        <v>0</v>
      </c>
      <c r="Z143" s="491" t="str">
        <f>VLOOKUP(Y143,Treatments!$C$7:$J$407,2)</f>
        <v>No treatment</v>
      </c>
      <c r="AA143" s="495">
        <f t="shared" si="90"/>
        <v>0</v>
      </c>
      <c r="AB143" s="433">
        <f>VLOOKUP(Y143,Treatments!$C$7:$J$407,8)</f>
        <v>0</v>
      </c>
      <c r="AC143" s="495">
        <f t="shared" si="91"/>
        <v>0</v>
      </c>
      <c r="AD143" s="496">
        <f t="shared" si="86"/>
        <v>0</v>
      </c>
      <c r="AE143" s="433">
        <f t="shared" si="87"/>
        <v>0</v>
      </c>
      <c r="AF143" s="411">
        <f t="shared" si="88"/>
        <v>0</v>
      </c>
      <c r="AI143" s="1"/>
      <c r="AK143" s="1"/>
      <c r="AL143" s="17" t="s">
        <v>586</v>
      </c>
      <c r="AM143" s="12" t="s">
        <v>587</v>
      </c>
      <c r="AN143" s="447">
        <f>Q143</f>
        <v>30</v>
      </c>
      <c r="AO143" s="1" t="s">
        <v>588</v>
      </c>
      <c r="AP143" s="511">
        <f>PMT(AO142,AN143,AP142)*-1</f>
        <v>0</v>
      </c>
      <c r="AQ143" s="1" t="s">
        <v>589</v>
      </c>
      <c r="AR143" s="1"/>
    </row>
    <row r="144" spans="2:44" x14ac:dyDescent="0.2">
      <c r="B144" s="435"/>
      <c r="C144" s="491" t="str">
        <f>IF(B144&lt;=0,"",VLOOKUP(B144,Treatments!$C$7:$J$407,2))</f>
        <v/>
      </c>
      <c r="D144" s="492"/>
      <c r="E144" s="433">
        <f>VLOOKUP(B144,Treatments!$C$7:$J$407,8)</f>
        <v>0</v>
      </c>
      <c r="F144" s="435"/>
      <c r="G144" s="493"/>
      <c r="H144" s="433">
        <f t="shared" si="84"/>
        <v>0</v>
      </c>
      <c r="I144" s="411">
        <f t="shared" si="89"/>
        <v>0</v>
      </c>
      <c r="L144" s="1"/>
      <c r="N144" s="1"/>
      <c r="T144" s="1"/>
      <c r="U144" s="1"/>
      <c r="Y144" s="447">
        <f t="shared" si="85"/>
        <v>0</v>
      </c>
      <c r="Z144" s="491" t="str">
        <f>VLOOKUP(Y144,Treatments!$C$7:$J$407,2)</f>
        <v>No treatment</v>
      </c>
      <c r="AA144" s="495">
        <f t="shared" si="90"/>
        <v>0</v>
      </c>
      <c r="AB144" s="433">
        <f>VLOOKUP(Y144,Treatments!$C$7:$J$407,8)</f>
        <v>0</v>
      </c>
      <c r="AC144" s="495">
        <f t="shared" si="91"/>
        <v>0</v>
      </c>
      <c r="AD144" s="496">
        <f t="shared" si="86"/>
        <v>0</v>
      </c>
      <c r="AE144" s="433">
        <f t="shared" si="87"/>
        <v>0</v>
      </c>
      <c r="AF144" s="411">
        <f t="shared" si="88"/>
        <v>0</v>
      </c>
      <c r="AI144" s="1"/>
      <c r="AJ144" s="1"/>
      <c r="AK144" s="1"/>
      <c r="AL144" s="1"/>
      <c r="AM144" s="1"/>
      <c r="AN144" s="1"/>
      <c r="AO144" s="1"/>
      <c r="AP144" s="1"/>
      <c r="AQ144" s="1"/>
      <c r="AR144" s="1"/>
    </row>
    <row r="145" spans="2:44" x14ac:dyDescent="0.2">
      <c r="B145" s="435"/>
      <c r="C145" s="491" t="str">
        <f>IF(B145&lt;=0,"",VLOOKUP(B145,Treatments!$C$7:$J$407,2))</f>
        <v/>
      </c>
      <c r="D145" s="492"/>
      <c r="E145" s="433">
        <f>VLOOKUP(B145,Treatments!$C$7:$J$407,8)</f>
        <v>0</v>
      </c>
      <c r="F145" s="435"/>
      <c r="G145" s="493"/>
      <c r="H145" s="433">
        <f t="shared" si="84"/>
        <v>0</v>
      </c>
      <c r="I145" s="411">
        <f t="shared" si="89"/>
        <v>0</v>
      </c>
      <c r="L145" s="1"/>
      <c r="M145" s="1"/>
      <c r="N145" s="1"/>
      <c r="O145" s="1"/>
      <c r="P145" s="1"/>
      <c r="Q145" s="1"/>
      <c r="R145" s="1"/>
      <c r="S145" s="1"/>
      <c r="T145" s="1"/>
      <c r="U145" s="1"/>
      <c r="Y145" s="447">
        <f t="shared" si="85"/>
        <v>0</v>
      </c>
      <c r="Z145" s="491" t="str">
        <f>VLOOKUP(Y145,Treatments!$C$7:$J$407,2)</f>
        <v>No treatment</v>
      </c>
      <c r="AA145" s="495">
        <f t="shared" si="90"/>
        <v>0</v>
      </c>
      <c r="AB145" s="433">
        <f>VLOOKUP(Y145,Treatments!$C$7:$J$407,8)</f>
        <v>0</v>
      </c>
      <c r="AC145" s="495">
        <f t="shared" si="91"/>
        <v>0</v>
      </c>
      <c r="AD145" s="496">
        <f t="shared" si="86"/>
        <v>0</v>
      </c>
      <c r="AE145" s="433">
        <f t="shared" si="87"/>
        <v>0</v>
      </c>
      <c r="AF145" s="411">
        <f t="shared" si="88"/>
        <v>0</v>
      </c>
      <c r="AI145" s="1"/>
      <c r="AJ145" s="1"/>
      <c r="AK145" s="1"/>
      <c r="AL145" s="1"/>
      <c r="AM145" s="1"/>
      <c r="AN145" s="1"/>
      <c r="AO145" s="1"/>
      <c r="AP145" s="1"/>
      <c r="AQ145" s="1"/>
      <c r="AR145" s="1"/>
    </row>
    <row r="146" spans="2:44" x14ac:dyDescent="0.2">
      <c r="B146" s="435"/>
      <c r="C146" s="491" t="str">
        <f>IF(B146&lt;=0,"",VLOOKUP(B146,Treatments!$C$7:$J$407,2))</f>
        <v/>
      </c>
      <c r="D146" s="492"/>
      <c r="E146" s="433">
        <f>VLOOKUP(B146,Treatments!$C$7:$J$407,8)</f>
        <v>0</v>
      </c>
      <c r="F146" s="435"/>
      <c r="G146" s="493"/>
      <c r="H146" s="433">
        <f t="shared" si="84"/>
        <v>0</v>
      </c>
      <c r="I146" s="411">
        <f t="shared" si="89"/>
        <v>0</v>
      </c>
      <c r="L146" s="1"/>
      <c r="M146" s="1"/>
      <c r="N146" s="1"/>
      <c r="O146" s="1"/>
      <c r="P146" s="1"/>
      <c r="Q146" s="1"/>
      <c r="R146" s="1"/>
      <c r="S146" s="1"/>
      <c r="T146" s="1"/>
      <c r="U146" s="1"/>
      <c r="Y146" s="447">
        <f t="shared" si="85"/>
        <v>0</v>
      </c>
      <c r="Z146" s="491" t="str">
        <f>VLOOKUP(Y146,Treatments!$C$7:$J$407,2)</f>
        <v>No treatment</v>
      </c>
      <c r="AA146" s="495">
        <f t="shared" si="90"/>
        <v>0</v>
      </c>
      <c r="AB146" s="433">
        <f>VLOOKUP(Y146,Treatments!$C$7:$J$407,8)</f>
        <v>0</v>
      </c>
      <c r="AC146" s="495">
        <f t="shared" si="91"/>
        <v>0</v>
      </c>
      <c r="AD146" s="496">
        <f t="shared" si="86"/>
        <v>0</v>
      </c>
      <c r="AE146" s="433">
        <f t="shared" si="87"/>
        <v>0</v>
      </c>
      <c r="AF146" s="411">
        <f t="shared" si="88"/>
        <v>0</v>
      </c>
      <c r="AI146" s="1"/>
      <c r="AJ146" s="1"/>
      <c r="AK146" s="1"/>
      <c r="AL146" s="1"/>
      <c r="AM146" s="1"/>
      <c r="AN146" s="1"/>
      <c r="AO146" s="1"/>
      <c r="AP146" s="1"/>
      <c r="AQ146" s="1"/>
      <c r="AR146" s="1"/>
    </row>
    <row r="147" spans="2:44" x14ac:dyDescent="0.2">
      <c r="B147" s="1"/>
      <c r="C147" s="1" t="s">
        <v>586</v>
      </c>
      <c r="D147" s="492"/>
      <c r="E147" s="433">
        <f>S143</f>
        <v>0</v>
      </c>
      <c r="F147" s="435"/>
      <c r="G147" s="493"/>
      <c r="H147" s="433">
        <f t="shared" si="84"/>
        <v>0</v>
      </c>
      <c r="I147" s="411">
        <f t="shared" si="89"/>
        <v>0</v>
      </c>
      <c r="L147" s="1"/>
      <c r="M147" s="1"/>
      <c r="N147" s="1"/>
      <c r="O147" s="1"/>
      <c r="P147" s="1"/>
      <c r="Q147" s="1"/>
      <c r="R147" s="1"/>
      <c r="S147" s="1"/>
      <c r="T147" s="1"/>
      <c r="U147" s="1"/>
      <c r="Y147" s="1"/>
      <c r="Z147" s="1" t="s">
        <v>586</v>
      </c>
      <c r="AA147" s="495">
        <f t="shared" si="90"/>
        <v>0</v>
      </c>
      <c r="AB147" s="433">
        <f>AP143</f>
        <v>0</v>
      </c>
      <c r="AC147" s="495">
        <f t="shared" si="91"/>
        <v>0</v>
      </c>
      <c r="AD147" s="496">
        <f t="shared" si="86"/>
        <v>0</v>
      </c>
      <c r="AE147" s="433">
        <f t="shared" si="87"/>
        <v>0</v>
      </c>
      <c r="AF147" s="411">
        <f t="shared" si="88"/>
        <v>0</v>
      </c>
      <c r="AI147" s="1"/>
      <c r="AJ147" s="1"/>
      <c r="AK147" s="1"/>
      <c r="AL147" s="1"/>
      <c r="AM147" s="1"/>
      <c r="AN147" s="1"/>
      <c r="AO147" s="1"/>
      <c r="AP147" s="1"/>
      <c r="AQ147" s="1"/>
      <c r="AR147" s="1"/>
    </row>
    <row r="148" spans="2:44" ht="15.75" x14ac:dyDescent="0.25">
      <c r="B148" s="515"/>
      <c r="C148" s="515"/>
      <c r="D148" s="515"/>
      <c r="E148" s="516"/>
      <c r="F148" s="517" t="s">
        <v>796</v>
      </c>
      <c r="G148" s="515"/>
      <c r="H148" s="510">
        <f>SUM(H110:H147)</f>
        <v>0</v>
      </c>
      <c r="I148" s="510">
        <f>SUM(I110:I147)</f>
        <v>0</v>
      </c>
      <c r="L148" s="1" t="s">
        <v>791</v>
      </c>
      <c r="M148" s="1"/>
      <c r="N148" s="1"/>
      <c r="O148" s="1"/>
      <c r="P148" s="1"/>
      <c r="Q148" s="1"/>
      <c r="R148" s="1"/>
      <c r="S148" s="1"/>
      <c r="T148" s="1"/>
      <c r="U148" s="1"/>
      <c r="Y148" s="515"/>
      <c r="Z148" s="515"/>
      <c r="AA148" s="518"/>
      <c r="AB148" s="516"/>
      <c r="AC148" s="518" t="s">
        <v>796</v>
      </c>
      <c r="AD148" s="518"/>
      <c r="AE148" s="510">
        <f>SUM(AE110:AE147)</f>
        <v>0</v>
      </c>
      <c r="AF148" s="510">
        <f>SUM(AF110:AF147)</f>
        <v>0</v>
      </c>
      <c r="AI148" s="1"/>
      <c r="AJ148" s="1"/>
      <c r="AK148" s="1"/>
      <c r="AL148" s="1"/>
      <c r="AM148" s="1"/>
      <c r="AN148" s="1"/>
      <c r="AO148" s="1"/>
      <c r="AP148" s="1"/>
      <c r="AQ148" s="1"/>
      <c r="AR148" s="1"/>
    </row>
    <row r="149" spans="2:44" x14ac:dyDescent="0.2">
      <c r="B149" s="515"/>
      <c r="D149" s="515"/>
      <c r="E149" s="516"/>
      <c r="F149" s="515"/>
      <c r="G149" s="515"/>
      <c r="H149" s="515"/>
      <c r="L149" s="1" t="s">
        <v>790</v>
      </c>
      <c r="M149" s="1"/>
      <c r="N149" s="1"/>
      <c r="O149" s="1"/>
      <c r="P149" s="1"/>
      <c r="Q149" s="1"/>
      <c r="R149" s="1"/>
      <c r="S149" s="1"/>
      <c r="T149" s="1"/>
      <c r="U149" s="1"/>
    </row>
    <row r="150" spans="2:44" x14ac:dyDescent="0.2">
      <c r="D150" s="515"/>
      <c r="E150" s="516"/>
      <c r="F150" s="515"/>
      <c r="G150" s="515"/>
      <c r="H150" s="515"/>
      <c r="L150" s="1"/>
      <c r="M150" s="1"/>
      <c r="N150" s="1"/>
      <c r="O150" s="1"/>
      <c r="P150" s="1"/>
      <c r="Q150" s="1"/>
      <c r="R150" s="1"/>
      <c r="S150" s="1"/>
      <c r="T150" s="1"/>
      <c r="U150" s="1"/>
    </row>
    <row r="151" spans="2:44" x14ac:dyDescent="0.2">
      <c r="B151"/>
      <c r="C151"/>
      <c r="D151"/>
      <c r="E151" s="516"/>
      <c r="F151" s="515"/>
      <c r="G151" s="515"/>
      <c r="H151" s="515"/>
      <c r="L151" s="1" t="s">
        <v>394</v>
      </c>
      <c r="M151" s="1"/>
      <c r="N151" s="1"/>
      <c r="O151" s="1"/>
      <c r="P151" s="1"/>
      <c r="Q151" s="1"/>
      <c r="R151" s="1"/>
      <c r="S151" s="1"/>
      <c r="T151" s="1"/>
      <c r="U151" s="1"/>
    </row>
    <row r="152" spans="2:44" x14ac:dyDescent="0.2">
      <c r="H152" s="515"/>
      <c r="L152" s="1"/>
      <c r="M152" s="1"/>
      <c r="N152" s="1"/>
      <c r="O152" s="1"/>
      <c r="P152" s="1"/>
      <c r="Q152" s="1"/>
      <c r="R152" s="1"/>
      <c r="S152" s="1"/>
      <c r="T152" s="1"/>
      <c r="U152" s="1"/>
    </row>
    <row r="153" spans="2:44" ht="15.75" x14ac:dyDescent="0.25">
      <c r="B153" s="551" t="s">
        <v>897</v>
      </c>
      <c r="C153" s="552"/>
      <c r="G153" s="551" t="s">
        <v>897</v>
      </c>
      <c r="H153" s="552"/>
      <c r="L153" s="1" t="s">
        <v>793</v>
      </c>
      <c r="M153" s="1"/>
      <c r="N153" s="1"/>
      <c r="O153" s="1"/>
      <c r="P153" s="1"/>
      <c r="Q153" s="1"/>
      <c r="R153" s="1"/>
      <c r="S153" s="1"/>
      <c r="T153" s="1"/>
      <c r="U153" s="1"/>
    </row>
    <row r="154" spans="2:44" ht="15.75" x14ac:dyDescent="0.25">
      <c r="B154" s="553" t="s">
        <v>400</v>
      </c>
      <c r="C154" s="555"/>
      <c r="D154" s="554" t="s">
        <v>993</v>
      </c>
      <c r="E154" s="554" t="s">
        <v>904</v>
      </c>
      <c r="G154" s="553" t="s">
        <v>393</v>
      </c>
      <c r="H154" s="555"/>
      <c r="I154" s="554" t="s">
        <v>993</v>
      </c>
      <c r="J154" s="554" t="s">
        <v>904</v>
      </c>
      <c r="L154" s="1" t="s">
        <v>798</v>
      </c>
      <c r="M154" s="1"/>
      <c r="N154" s="1"/>
      <c r="O154" s="1"/>
      <c r="P154" s="1"/>
      <c r="Q154" s="1"/>
      <c r="R154" s="1"/>
      <c r="S154" s="1"/>
      <c r="T154" s="1"/>
    </row>
    <row r="155" spans="2:44" ht="15.75" x14ac:dyDescent="0.25">
      <c r="B155" s="454" t="s">
        <v>898</v>
      </c>
      <c r="C155" s="519"/>
      <c r="D155" s="455">
        <f>L60</f>
        <v>0</v>
      </c>
      <c r="E155" s="455">
        <f>D155/$D$8</f>
        <v>0</v>
      </c>
      <c r="F155" s="515"/>
      <c r="G155" s="456" t="s">
        <v>898</v>
      </c>
      <c r="H155" s="456"/>
      <c r="I155" s="457">
        <f t="shared" ref="I155:J160" si="92">D155</f>
        <v>0</v>
      </c>
      <c r="J155" s="457">
        <f t="shared" si="92"/>
        <v>0</v>
      </c>
      <c r="L155" s="1" t="s">
        <v>799</v>
      </c>
      <c r="M155" s="1"/>
      <c r="N155" s="1"/>
      <c r="O155" s="1"/>
      <c r="P155" s="1"/>
      <c r="Q155" s="1"/>
      <c r="R155" s="1"/>
      <c r="S155" s="1"/>
      <c r="T155" s="1"/>
    </row>
    <row r="156" spans="2:44" ht="15.75" x14ac:dyDescent="0.25">
      <c r="B156" s="458" t="s">
        <v>797</v>
      </c>
      <c r="C156" s="459"/>
      <c r="D156" s="460">
        <f>H22</f>
        <v>0</v>
      </c>
      <c r="E156" s="460">
        <f t="shared" ref="E156:E162" si="93">D156/$D$8</f>
        <v>0</v>
      </c>
      <c r="F156" s="515"/>
      <c r="G156" s="458" t="s">
        <v>797</v>
      </c>
      <c r="H156" s="458"/>
      <c r="I156" s="460">
        <f t="shared" si="92"/>
        <v>0</v>
      </c>
      <c r="J156" s="461">
        <f t="shared" si="92"/>
        <v>0</v>
      </c>
      <c r="L156" s="520"/>
    </row>
    <row r="157" spans="2:44" ht="15.75" x14ac:dyDescent="0.25">
      <c r="B157" s="462" t="s">
        <v>399</v>
      </c>
      <c r="C157" s="463"/>
      <c r="D157" s="464">
        <f>H35+J35+L35</f>
        <v>0</v>
      </c>
      <c r="E157" s="464">
        <f t="shared" si="93"/>
        <v>0</v>
      </c>
      <c r="F157" s="515"/>
      <c r="G157" s="462" t="s">
        <v>899</v>
      </c>
      <c r="H157" s="462"/>
      <c r="I157" s="465">
        <f t="shared" si="92"/>
        <v>0</v>
      </c>
      <c r="J157" s="466">
        <f t="shared" si="92"/>
        <v>0</v>
      </c>
      <c r="M157" s="520"/>
    </row>
    <row r="158" spans="2:44" ht="15.75" x14ac:dyDescent="0.25">
      <c r="B158" s="467" t="s">
        <v>880</v>
      </c>
      <c r="C158" s="463"/>
      <c r="D158" s="464">
        <f>L75</f>
        <v>0</v>
      </c>
      <c r="E158" s="464">
        <f t="shared" si="93"/>
        <v>0</v>
      </c>
      <c r="F158" s="515"/>
      <c r="G158" s="467" t="s">
        <v>880</v>
      </c>
      <c r="H158" s="467"/>
      <c r="I158" s="465">
        <f t="shared" si="92"/>
        <v>0</v>
      </c>
      <c r="J158" s="466">
        <f t="shared" si="92"/>
        <v>0</v>
      </c>
    </row>
    <row r="159" spans="2:44" ht="15.75" x14ac:dyDescent="0.25">
      <c r="B159" s="467" t="s">
        <v>881</v>
      </c>
      <c r="C159" s="463"/>
      <c r="D159" s="464">
        <f>M47</f>
        <v>0</v>
      </c>
      <c r="E159" s="464">
        <f t="shared" si="93"/>
        <v>0</v>
      </c>
      <c r="G159" s="467" t="s">
        <v>881</v>
      </c>
      <c r="H159" s="467"/>
      <c r="I159" s="465">
        <f t="shared" si="92"/>
        <v>0</v>
      </c>
      <c r="J159" s="466">
        <f t="shared" si="92"/>
        <v>0</v>
      </c>
    </row>
    <row r="160" spans="2:44" ht="15.75" x14ac:dyDescent="0.25">
      <c r="B160" s="467" t="s">
        <v>872</v>
      </c>
      <c r="C160" s="463"/>
      <c r="D160" s="464">
        <f>D75+H75</f>
        <v>0</v>
      </c>
      <c r="E160" s="464">
        <f t="shared" si="93"/>
        <v>0</v>
      </c>
      <c r="F160" s="515"/>
      <c r="G160" s="467" t="s">
        <v>872</v>
      </c>
      <c r="H160" s="467"/>
      <c r="I160" s="465">
        <f t="shared" si="92"/>
        <v>0</v>
      </c>
      <c r="J160" s="466">
        <f t="shared" si="92"/>
        <v>0</v>
      </c>
    </row>
    <row r="161" spans="2:13" ht="15.75" x14ac:dyDescent="0.25">
      <c r="B161" s="468" t="s">
        <v>755</v>
      </c>
      <c r="C161" s="469"/>
      <c r="D161" s="470">
        <f>I148</f>
        <v>0</v>
      </c>
      <c r="E161" s="470">
        <f t="shared" si="93"/>
        <v>0</v>
      </c>
      <c r="F161" s="515"/>
      <c r="G161" s="468" t="s">
        <v>754</v>
      </c>
      <c r="H161" s="468"/>
      <c r="I161" s="465">
        <f>AF148</f>
        <v>0</v>
      </c>
      <c r="J161" s="466">
        <f>I161/$D$8</f>
        <v>0</v>
      </c>
    </row>
    <row r="162" spans="2:13" ht="15.75" x14ac:dyDescent="0.25">
      <c r="B162" s="471" t="s">
        <v>900</v>
      </c>
      <c r="C162" s="521"/>
      <c r="D162" s="472">
        <f>SUM(D156:D161)</f>
        <v>0</v>
      </c>
      <c r="E162" s="472">
        <f t="shared" si="93"/>
        <v>0</v>
      </c>
      <c r="F162" s="515"/>
      <c r="G162" s="471" t="s">
        <v>900</v>
      </c>
      <c r="H162" s="471"/>
      <c r="I162" s="472">
        <f>SUM(I156:I161)</f>
        <v>0</v>
      </c>
      <c r="J162" s="472">
        <f>I162/D8</f>
        <v>0</v>
      </c>
    </row>
    <row r="163" spans="2:13" x14ac:dyDescent="0.2">
      <c r="B163" s="427"/>
      <c r="C163" s="427"/>
      <c r="D163" s="427"/>
      <c r="E163" s="427"/>
      <c r="G163" s="427"/>
      <c r="H163" s="427"/>
      <c r="I163" s="427"/>
      <c r="J163" s="427"/>
    </row>
    <row r="164" spans="2:13" ht="15.75" x14ac:dyDescent="0.25">
      <c r="B164" s="473" t="s">
        <v>901</v>
      </c>
      <c r="C164" s="522"/>
      <c r="D164" s="474">
        <f>D155-D162</f>
        <v>0</v>
      </c>
      <c r="E164" s="474">
        <f>D164/D8</f>
        <v>0</v>
      </c>
      <c r="G164" s="473" t="s">
        <v>901</v>
      </c>
      <c r="H164" s="473"/>
      <c r="I164" s="474">
        <f>I155-I162</f>
        <v>0</v>
      </c>
      <c r="J164" s="474">
        <f>I164/$D$8</f>
        <v>0</v>
      </c>
      <c r="K164" s="523"/>
    </row>
    <row r="165" spans="2:13" ht="15.75" x14ac:dyDescent="0.25">
      <c r="B165" s="473" t="s">
        <v>737</v>
      </c>
      <c r="C165" s="475"/>
      <c r="D165" s="474">
        <f>H88</f>
        <v>0</v>
      </c>
      <c r="E165" s="474">
        <f>D165/D8</f>
        <v>0</v>
      </c>
      <c r="F165" s="515"/>
      <c r="G165" s="473" t="s">
        <v>737</v>
      </c>
      <c r="H165" s="475"/>
      <c r="I165" s="474">
        <f>H88</f>
        <v>0</v>
      </c>
      <c r="J165" s="515"/>
    </row>
    <row r="166" spans="2:13" ht="15.75" x14ac:dyDescent="0.25">
      <c r="B166" s="473" t="s">
        <v>675</v>
      </c>
      <c r="C166" s="522"/>
      <c r="D166" s="474">
        <f>D164-D165</f>
        <v>0</v>
      </c>
      <c r="E166" s="474">
        <f>D166/$D$8</f>
        <v>0</v>
      </c>
      <c r="F166" s="515"/>
      <c r="G166" s="473" t="s">
        <v>902</v>
      </c>
      <c r="H166" s="473"/>
      <c r="I166" s="474">
        <f>I164-I165</f>
        <v>0</v>
      </c>
      <c r="J166" s="474">
        <f>I166/$D$8</f>
        <v>0</v>
      </c>
    </row>
    <row r="167" spans="2:13" ht="15.75" x14ac:dyDescent="0.25">
      <c r="B167" s="473" t="s">
        <v>739</v>
      </c>
      <c r="C167" s="522"/>
      <c r="D167" s="522"/>
      <c r="E167" s="476">
        <f>(E60-F22)/$D$8</f>
        <v>0</v>
      </c>
      <c r="F167" s="515"/>
      <c r="J167" s="515"/>
    </row>
    <row r="168" spans="2:13" x14ac:dyDescent="0.2">
      <c r="F168" s="515"/>
      <c r="J168" s="524"/>
    </row>
    <row r="169" spans="2:13" x14ac:dyDescent="0.2">
      <c r="F169" s="515"/>
      <c r="I169" s="515"/>
      <c r="J169" s="515"/>
    </row>
    <row r="170" spans="2:13" x14ac:dyDescent="0.2">
      <c r="B170" s="1"/>
      <c r="C170" s="1"/>
      <c r="D170" s="1"/>
      <c r="E170" s="524"/>
      <c r="F170" s="515"/>
      <c r="G170" s="1"/>
      <c r="H170" s="1"/>
      <c r="I170" s="1"/>
      <c r="J170" s="524"/>
    </row>
    <row r="171" spans="2:13" x14ac:dyDescent="0.2">
      <c r="G171" s="1"/>
      <c r="H171" s="1"/>
      <c r="I171" s="1"/>
      <c r="J171" s="515"/>
    </row>
    <row r="172" spans="2:13" ht="15.75" thickBot="1" x14ac:dyDescent="0.25">
      <c r="B172" s="1"/>
      <c r="C172" s="1"/>
      <c r="D172" s="1"/>
      <c r="E172" s="524"/>
      <c r="G172" s="1"/>
      <c r="H172" s="1"/>
      <c r="I172" s="1"/>
      <c r="J172" s="524"/>
    </row>
    <row r="173" spans="2:13" ht="16.5" thickBot="1" x14ac:dyDescent="0.3">
      <c r="B173" s="1"/>
      <c r="C173" s="525" t="s">
        <v>667</v>
      </c>
      <c r="D173" s="526" t="s">
        <v>668</v>
      </c>
      <c r="E173" s="1"/>
      <c r="G173" s="527"/>
      <c r="H173" s="528" t="s">
        <v>760</v>
      </c>
      <c r="I173" s="529"/>
      <c r="J173" s="530"/>
      <c r="K173" s="528" t="s">
        <v>761</v>
      </c>
      <c r="L173" s="529"/>
      <c r="M173" s="530"/>
    </row>
    <row r="174" spans="2:13" ht="15.75" x14ac:dyDescent="0.2">
      <c r="B174" s="1"/>
      <c r="C174" s="74" t="s">
        <v>661</v>
      </c>
      <c r="D174" s="495">
        <f>H100</f>
        <v>0</v>
      </c>
      <c r="E174" s="1"/>
      <c r="G174" s="531"/>
      <c r="H174" s="532" t="s">
        <v>762</v>
      </c>
      <c r="I174" s="532" t="s">
        <v>763</v>
      </c>
      <c r="J174" s="532" t="s">
        <v>764</v>
      </c>
      <c r="K174" s="532" t="s">
        <v>765</v>
      </c>
      <c r="L174" s="532" t="s">
        <v>766</v>
      </c>
      <c r="M174" s="532" t="s">
        <v>767</v>
      </c>
    </row>
    <row r="175" spans="2:13" ht="16.5" thickBot="1" x14ac:dyDescent="0.25">
      <c r="C175" s="74" t="s">
        <v>669</v>
      </c>
      <c r="D175" s="435">
        <v>3650</v>
      </c>
      <c r="E175" s="1" t="s">
        <v>803</v>
      </c>
      <c r="G175" s="533" t="s">
        <v>768</v>
      </c>
      <c r="H175" s="534">
        <v>1000</v>
      </c>
      <c r="I175" s="534">
        <v>1000</v>
      </c>
      <c r="J175" s="534">
        <v>1000</v>
      </c>
      <c r="K175" s="534">
        <v>1000</v>
      </c>
      <c r="L175" s="534">
        <v>1000</v>
      </c>
      <c r="M175" s="534">
        <v>1000</v>
      </c>
    </row>
    <row r="176" spans="2:13" ht="16.5" thickBot="1" x14ac:dyDescent="0.25">
      <c r="C176" s="74" t="s">
        <v>670</v>
      </c>
      <c r="D176" s="409">
        <f>D175*D174</f>
        <v>0</v>
      </c>
      <c r="E176" s="1" t="s">
        <v>666</v>
      </c>
      <c r="G176" s="535" t="s">
        <v>769</v>
      </c>
      <c r="H176" s="536">
        <v>0.4</v>
      </c>
      <c r="I176" s="537">
        <v>0.3</v>
      </c>
      <c r="J176" s="538">
        <v>0.4</v>
      </c>
      <c r="K176" s="539">
        <v>0.3</v>
      </c>
      <c r="L176" s="538">
        <v>0.3</v>
      </c>
      <c r="M176" s="540">
        <v>0.3</v>
      </c>
    </row>
    <row r="177" spans="2:14" x14ac:dyDescent="0.2">
      <c r="B177" s="1"/>
      <c r="C177" s="541" t="s">
        <v>671</v>
      </c>
      <c r="D177" s="452">
        <v>0.35</v>
      </c>
      <c r="E177" s="1"/>
      <c r="G177" s="1"/>
      <c r="H177" s="1"/>
      <c r="I177" s="1"/>
      <c r="J177" s="1"/>
      <c r="K177" s="1"/>
      <c r="L177" s="1"/>
      <c r="M177" s="1"/>
    </row>
    <row r="178" spans="2:14" x14ac:dyDescent="0.2">
      <c r="B178" s="1"/>
      <c r="C178" s="541" t="s">
        <v>662</v>
      </c>
      <c r="D178" s="409">
        <f>D176*1/D177</f>
        <v>0</v>
      </c>
      <c r="E178" s="1" t="s">
        <v>666</v>
      </c>
      <c r="N178" s="1"/>
    </row>
    <row r="179" spans="2:14" x14ac:dyDescent="0.2">
      <c r="B179" s="1"/>
      <c r="C179" s="74" t="s">
        <v>672</v>
      </c>
      <c r="D179" s="409">
        <f>D8</f>
        <v>100</v>
      </c>
      <c r="E179" s="1" t="s">
        <v>1000</v>
      </c>
      <c r="N179" s="1"/>
    </row>
    <row r="180" spans="2:14" x14ac:dyDescent="0.2">
      <c r="B180" s="1"/>
      <c r="C180" s="74" t="s">
        <v>663</v>
      </c>
      <c r="D180" s="409">
        <f>D178/D179</f>
        <v>0</v>
      </c>
      <c r="E180" s="1" t="s">
        <v>802</v>
      </c>
      <c r="N180" s="1"/>
    </row>
    <row r="181" spans="2:14" x14ac:dyDescent="0.2">
      <c r="B181" s="1"/>
      <c r="C181" s="74" t="s">
        <v>664</v>
      </c>
      <c r="D181" s="435">
        <v>1000</v>
      </c>
      <c r="E181" s="1" t="s">
        <v>802</v>
      </c>
      <c r="N181" s="1"/>
    </row>
    <row r="182" spans="2:14" x14ac:dyDescent="0.2">
      <c r="B182" s="1"/>
      <c r="C182" s="74" t="s">
        <v>665</v>
      </c>
      <c r="D182" s="409">
        <f>D181+D180</f>
        <v>1000</v>
      </c>
      <c r="E182" s="1" t="s">
        <v>802</v>
      </c>
      <c r="N182" s="1"/>
    </row>
    <row r="183" spans="2:14" x14ac:dyDescent="0.2">
      <c r="B183" s="1"/>
      <c r="C183" s="542"/>
      <c r="D183" s="543"/>
      <c r="E183" s="1"/>
      <c r="N183" s="1"/>
    </row>
    <row r="184" spans="2:14" x14ac:dyDescent="0.2">
      <c r="B184" s="1"/>
      <c r="C184" s="1"/>
      <c r="D184" s="1"/>
      <c r="E184" s="1"/>
      <c r="F184" s="1"/>
      <c r="G184" s="1"/>
      <c r="H184" s="1"/>
      <c r="I184" s="1"/>
      <c r="J184" s="1"/>
      <c r="K184" s="1"/>
      <c r="L184" s="1"/>
      <c r="M184" s="1"/>
      <c r="N184" s="1"/>
    </row>
    <row r="185" spans="2:14" x14ac:dyDescent="0.2">
      <c r="B185" s="1"/>
      <c r="C185" s="1"/>
      <c r="D185" s="1"/>
      <c r="E185" s="1"/>
      <c r="F185" s="1"/>
      <c r="G185" s="1"/>
      <c r="H185" s="1"/>
      <c r="I185" s="1"/>
      <c r="J185" s="1"/>
      <c r="K185" s="1"/>
      <c r="L185" s="1"/>
      <c r="M185" s="1"/>
      <c r="N185" s="1"/>
    </row>
    <row r="186" spans="2:14" x14ac:dyDescent="0.2">
      <c r="B186" s="1"/>
      <c r="C186" s="1"/>
      <c r="D186" s="1"/>
      <c r="E186" s="1"/>
      <c r="F186" s="1"/>
      <c r="G186" s="1"/>
      <c r="H186" s="1"/>
      <c r="I186" s="1"/>
      <c r="J186" s="1"/>
      <c r="K186" s="1"/>
      <c r="L186" s="1"/>
      <c r="M186" s="1"/>
      <c r="N186" s="1"/>
    </row>
    <row r="187" spans="2:14" x14ac:dyDescent="0.2">
      <c r="B187" s="1"/>
      <c r="C187" s="1"/>
      <c r="D187" s="1"/>
      <c r="E187" s="1"/>
      <c r="F187" s="1"/>
      <c r="G187" s="1"/>
      <c r="H187" s="1"/>
      <c r="I187" s="1"/>
      <c r="J187" s="1"/>
      <c r="K187" s="1"/>
      <c r="L187" s="1"/>
      <c r="M187" s="1"/>
      <c r="N187" s="1"/>
    </row>
    <row r="188" spans="2:14" x14ac:dyDescent="0.2">
      <c r="B188" s="1"/>
      <c r="C188" s="1"/>
      <c r="D188" s="1"/>
      <c r="E188" s="1"/>
      <c r="F188" s="1"/>
      <c r="G188" s="1"/>
      <c r="H188" s="1"/>
      <c r="I188" s="1"/>
      <c r="J188" s="1"/>
      <c r="K188" s="1"/>
      <c r="L188" s="1"/>
      <c r="M188" s="1"/>
      <c r="N188" s="1"/>
    </row>
    <row r="189" spans="2:14" x14ac:dyDescent="0.2">
      <c r="B189" s="1"/>
      <c r="C189" s="1"/>
      <c r="D189" s="1"/>
      <c r="E189" s="1"/>
      <c r="F189" s="1"/>
      <c r="G189" s="1"/>
      <c r="H189" s="1"/>
      <c r="I189" s="1"/>
      <c r="J189" s="1"/>
      <c r="K189" s="1"/>
      <c r="L189" s="1"/>
      <c r="M189" s="1"/>
      <c r="N189" s="1"/>
    </row>
    <row r="190" spans="2:14" x14ac:dyDescent="0.2">
      <c r="B190" s="1"/>
      <c r="C190" s="1"/>
      <c r="D190" s="1"/>
      <c r="E190" s="1"/>
      <c r="F190" s="1"/>
      <c r="G190" s="1"/>
      <c r="H190" s="1"/>
      <c r="I190" s="1"/>
      <c r="J190" s="1"/>
      <c r="K190" s="1"/>
      <c r="L190" s="1"/>
      <c r="M190" s="1"/>
      <c r="N190" s="1"/>
    </row>
    <row r="191" spans="2:14" x14ac:dyDescent="0.2">
      <c r="B191" s="1"/>
      <c r="C191" s="1"/>
      <c r="D191" s="1"/>
      <c r="E191" s="1"/>
      <c r="F191" s="1"/>
      <c r="G191" s="1"/>
      <c r="H191" s="1"/>
      <c r="I191" s="1"/>
      <c r="J191" s="1"/>
      <c r="K191" s="1"/>
      <c r="L191" s="1"/>
      <c r="M191" s="1"/>
      <c r="N191" s="1"/>
    </row>
    <row r="192" spans="2:14" x14ac:dyDescent="0.2">
      <c r="B192" s="1"/>
      <c r="C192" s="1"/>
      <c r="D192" s="1"/>
      <c r="E192" s="1"/>
      <c r="F192" s="1"/>
      <c r="G192" s="1"/>
      <c r="H192" s="1"/>
      <c r="I192" s="1"/>
      <c r="J192" s="1"/>
      <c r="K192" s="1"/>
    </row>
    <row r="193" spans="2:11" x14ac:dyDescent="0.2">
      <c r="B193" s="1"/>
      <c r="C193" s="1"/>
      <c r="D193" s="1"/>
      <c r="E193" s="1"/>
      <c r="F193" s="1"/>
      <c r="G193" s="1"/>
      <c r="H193" s="1"/>
      <c r="I193" s="1"/>
      <c r="J193" s="1"/>
      <c r="K193" s="1"/>
    </row>
    <row r="194" spans="2:11" x14ac:dyDescent="0.2">
      <c r="C194" s="1"/>
      <c r="D194" s="1"/>
      <c r="E194" s="1"/>
      <c r="F194" s="1"/>
      <c r="G194" s="1"/>
      <c r="H194" s="1"/>
      <c r="I194" s="1"/>
      <c r="J194" s="1"/>
      <c r="K194" s="1"/>
    </row>
    <row r="195" spans="2:11" x14ac:dyDescent="0.2">
      <c r="E195" s="1"/>
      <c r="F195" s="1"/>
      <c r="G195" s="1"/>
      <c r="H195" s="1"/>
      <c r="I195" s="1"/>
      <c r="J195" s="1"/>
      <c r="K195" s="1"/>
    </row>
    <row r="196" spans="2:11" x14ac:dyDescent="0.2">
      <c r="E196" s="1"/>
      <c r="F196" s="1"/>
      <c r="G196" s="1"/>
      <c r="H196" s="1"/>
      <c r="I196" s="1"/>
      <c r="J196" s="1"/>
      <c r="K196" s="1"/>
    </row>
    <row r="197" spans="2:11" x14ac:dyDescent="0.2">
      <c r="E197" s="1"/>
      <c r="F197" s="1"/>
      <c r="G197" s="1"/>
      <c r="H197" s="1"/>
      <c r="I197" s="1"/>
      <c r="J197" s="1"/>
      <c r="K197" s="1"/>
    </row>
    <row r="198" spans="2:11" x14ac:dyDescent="0.2">
      <c r="E198" s="1"/>
      <c r="F198" s="1"/>
      <c r="G198" s="1"/>
      <c r="H198" s="1"/>
      <c r="I198" s="1"/>
      <c r="J198" s="1"/>
      <c r="K198" s="1"/>
    </row>
    <row r="199" spans="2:11" x14ac:dyDescent="0.2">
      <c r="E199" s="1"/>
      <c r="F199" s="1"/>
      <c r="G199" s="1"/>
      <c r="H199" s="1"/>
      <c r="I199" s="1"/>
      <c r="J199" s="1"/>
      <c r="K199" s="1"/>
    </row>
    <row r="200" spans="2:11" x14ac:dyDescent="0.2">
      <c r="E200" s="1"/>
      <c r="F200" s="1"/>
      <c r="G200" s="1"/>
      <c r="H200" s="1"/>
      <c r="I200" s="1"/>
      <c r="J200" s="1"/>
      <c r="K200" s="1"/>
    </row>
    <row r="201" spans="2:11" x14ac:dyDescent="0.2">
      <c r="E201" s="1"/>
      <c r="F201" s="1"/>
      <c r="G201" s="1"/>
      <c r="H201" s="1"/>
      <c r="I201" s="1"/>
      <c r="J201" s="1"/>
      <c r="K201" s="1"/>
    </row>
    <row r="202" spans="2:11" x14ac:dyDescent="0.2">
      <c r="E202" s="1"/>
      <c r="F202" s="1"/>
      <c r="G202" s="1"/>
      <c r="H202" s="1"/>
      <c r="I202" s="1"/>
      <c r="J202" s="1"/>
      <c r="K202" s="1"/>
    </row>
    <row r="203" spans="2:11" x14ac:dyDescent="0.2">
      <c r="E203" s="1"/>
      <c r="F203" s="1"/>
      <c r="G203" s="1"/>
      <c r="H203" s="1"/>
      <c r="I203" s="1"/>
      <c r="J203" s="1"/>
      <c r="K203" s="1"/>
    </row>
    <row r="204" spans="2:11" x14ac:dyDescent="0.2">
      <c r="E204" s="1"/>
      <c r="F204" s="1"/>
      <c r="G204" s="1"/>
      <c r="H204" s="1"/>
      <c r="I204" s="1"/>
      <c r="J204" s="1"/>
      <c r="K204" s="1"/>
    </row>
    <row r="205" spans="2:11" x14ac:dyDescent="0.2">
      <c r="B205" s="1"/>
      <c r="C205" s="1"/>
      <c r="D205" s="1"/>
      <c r="E205" s="1"/>
      <c r="F205" s="1"/>
      <c r="G205" s="1"/>
      <c r="H205" s="1"/>
      <c r="I205" s="1"/>
      <c r="J205" s="1"/>
      <c r="K205" s="1"/>
    </row>
    <row r="206" spans="2:11" x14ac:dyDescent="0.2">
      <c r="B206" s="1"/>
      <c r="C206" s="1"/>
      <c r="D206" s="1"/>
      <c r="E206" s="1"/>
      <c r="F206" s="1"/>
      <c r="G206" s="1"/>
      <c r="H206" s="1"/>
      <c r="I206" s="1"/>
      <c r="J206" s="1"/>
      <c r="K206" s="1"/>
    </row>
    <row r="207" spans="2:11" x14ac:dyDescent="0.2">
      <c r="B207" s="1"/>
      <c r="C207" s="1"/>
      <c r="D207" s="1"/>
      <c r="E207" s="1"/>
      <c r="F207" s="1"/>
      <c r="G207" s="1"/>
      <c r="H207" s="1"/>
      <c r="I207" s="1"/>
      <c r="J207" s="1"/>
      <c r="K207" s="1"/>
    </row>
    <row r="208" spans="2:11" x14ac:dyDescent="0.2">
      <c r="B208" s="1"/>
      <c r="C208" s="1"/>
      <c r="D208" s="1"/>
      <c r="E208" s="1"/>
      <c r="F208" s="1"/>
      <c r="G208" s="1"/>
      <c r="H208" s="1"/>
      <c r="I208" s="1"/>
      <c r="J208" s="1"/>
      <c r="K208" s="1"/>
    </row>
    <row r="209" spans="2:11" x14ac:dyDescent="0.2">
      <c r="B209" s="1"/>
      <c r="C209" s="1"/>
      <c r="D209" s="1"/>
      <c r="E209" s="1"/>
      <c r="F209" s="1"/>
      <c r="G209" s="1"/>
      <c r="H209" s="1"/>
      <c r="I209" s="1"/>
      <c r="J209" s="1"/>
      <c r="K209" s="1"/>
    </row>
    <row r="210" spans="2:11" x14ac:dyDescent="0.2">
      <c r="B210" s="1"/>
      <c r="C210" s="1"/>
      <c r="D210" s="1"/>
      <c r="E210" s="1"/>
      <c r="F210" s="1"/>
      <c r="G210" s="1"/>
      <c r="H210" s="1"/>
      <c r="I210" s="1"/>
      <c r="J210" s="1"/>
      <c r="K210" s="1"/>
    </row>
    <row r="211" spans="2:11" x14ac:dyDescent="0.2">
      <c r="B211" s="1"/>
      <c r="C211" s="1"/>
      <c r="D211" s="1"/>
      <c r="E211" s="1"/>
      <c r="F211" s="1"/>
      <c r="G211" s="1"/>
      <c r="H211" s="1"/>
      <c r="I211" s="1"/>
      <c r="J211" s="1"/>
      <c r="K211" s="1"/>
    </row>
    <row r="212" spans="2:11" x14ac:dyDescent="0.2">
      <c r="B212" s="1"/>
      <c r="C212" s="1"/>
      <c r="D212" s="1"/>
      <c r="E212" s="1"/>
      <c r="F212" s="1"/>
      <c r="G212" s="1"/>
      <c r="H212" s="1"/>
      <c r="I212" s="1"/>
      <c r="J212" s="1"/>
      <c r="K212" s="1"/>
    </row>
    <row r="213" spans="2:11" x14ac:dyDescent="0.2">
      <c r="B213" s="1"/>
      <c r="C213" s="1"/>
      <c r="D213" s="1"/>
      <c r="E213" s="1"/>
      <c r="F213" s="1"/>
      <c r="G213" s="1"/>
      <c r="H213" s="1"/>
      <c r="I213" s="1"/>
      <c r="J213" s="1"/>
      <c r="K213" s="1"/>
    </row>
    <row r="214" spans="2:11" x14ac:dyDescent="0.2">
      <c r="B214" s="1"/>
      <c r="C214" s="1"/>
      <c r="D214" s="1"/>
      <c r="E214" s="1"/>
      <c r="F214" s="1"/>
      <c r="G214" s="1"/>
      <c r="H214" s="1"/>
      <c r="I214" s="1"/>
      <c r="J214" s="1"/>
      <c r="K214" s="1"/>
    </row>
    <row r="215" spans="2:11" x14ac:dyDescent="0.2">
      <c r="B215" s="1"/>
      <c r="C215" s="1"/>
      <c r="D215" s="1"/>
      <c r="E215" s="1"/>
      <c r="F215" s="1"/>
      <c r="G215" s="1"/>
      <c r="H215" s="1"/>
      <c r="I215" s="1"/>
      <c r="J215" s="1"/>
      <c r="K215" s="1"/>
    </row>
    <row r="216" spans="2:11" x14ac:dyDescent="0.2">
      <c r="B216" s="1"/>
      <c r="C216" s="1"/>
      <c r="D216" s="1"/>
      <c r="E216" s="1"/>
      <c r="F216" s="1"/>
      <c r="G216" s="1"/>
      <c r="H216" s="1"/>
      <c r="I216" s="1"/>
      <c r="J216" s="1"/>
      <c r="K216" s="1"/>
    </row>
    <row r="217" spans="2:11" x14ac:dyDescent="0.2">
      <c r="B217" s="1"/>
      <c r="C217" s="1"/>
      <c r="D217" s="1"/>
      <c r="E217" s="1"/>
      <c r="F217" s="1"/>
      <c r="G217" s="1"/>
      <c r="H217" s="1"/>
      <c r="I217" s="1"/>
      <c r="J217" s="1"/>
      <c r="K217" s="1"/>
    </row>
    <row r="218" spans="2:11" x14ac:dyDescent="0.2">
      <c r="B218" s="1"/>
      <c r="C218" s="1"/>
      <c r="D218" s="1"/>
      <c r="E218" s="1"/>
      <c r="F218" s="1"/>
      <c r="G218" s="1"/>
      <c r="H218" s="1"/>
      <c r="I218" s="1"/>
      <c r="J218" s="1"/>
      <c r="K218" s="1"/>
    </row>
    <row r="219" spans="2:11" x14ac:dyDescent="0.2">
      <c r="B219" s="1"/>
      <c r="C219" s="1"/>
      <c r="D219" s="1"/>
      <c r="E219" s="1"/>
      <c r="F219" s="1"/>
      <c r="G219" s="1"/>
      <c r="H219" s="1"/>
      <c r="I219" s="1"/>
      <c r="J219" s="1"/>
      <c r="K219" s="1"/>
    </row>
    <row r="220" spans="2:11" x14ac:dyDescent="0.2">
      <c r="B220" s="1"/>
      <c r="C220" s="1"/>
      <c r="D220" s="1"/>
      <c r="E220" s="1"/>
      <c r="F220" s="1"/>
      <c r="G220" s="1"/>
      <c r="H220" s="1"/>
      <c r="I220" s="1"/>
      <c r="J220" s="1"/>
      <c r="K220" s="1"/>
    </row>
    <row r="221" spans="2:11" x14ac:dyDescent="0.2">
      <c r="B221" s="1"/>
      <c r="C221" s="1"/>
      <c r="D221" s="1"/>
      <c r="E221" s="1"/>
      <c r="F221" s="1"/>
      <c r="G221" s="1"/>
      <c r="H221" s="1"/>
      <c r="I221" s="1"/>
      <c r="J221" s="1"/>
      <c r="K221" s="1"/>
    </row>
    <row r="222" spans="2:11" x14ac:dyDescent="0.2">
      <c r="B222" s="1"/>
      <c r="C222" s="1"/>
      <c r="D222" s="1"/>
      <c r="E222" s="1"/>
      <c r="F222" s="1"/>
      <c r="G222" s="1"/>
      <c r="H222" s="1"/>
      <c r="I222" s="1"/>
      <c r="J222" s="1"/>
      <c r="K222" s="1"/>
    </row>
    <row r="223" spans="2:11" x14ac:dyDescent="0.2">
      <c r="B223" s="1"/>
      <c r="C223" s="1"/>
      <c r="D223" s="1"/>
      <c r="E223" s="1"/>
      <c r="F223" s="1"/>
      <c r="G223" s="1"/>
      <c r="H223" s="1"/>
      <c r="I223" s="1"/>
      <c r="J223" s="1"/>
      <c r="K223" s="1"/>
    </row>
  </sheetData>
  <mergeCells count="13">
    <mergeCell ref="Q16:R16"/>
    <mergeCell ref="Q17:R17"/>
    <mergeCell ref="Q18:R18"/>
    <mergeCell ref="Q19:R19"/>
    <mergeCell ref="Q12:R12"/>
    <mergeCell ref="Q13:R13"/>
    <mergeCell ref="Q14:R14"/>
    <mergeCell ref="Q15:R15"/>
    <mergeCell ref="Q20:R20"/>
    <mergeCell ref="Q21:R21"/>
    <mergeCell ref="Q22:R22"/>
    <mergeCell ref="Q24:R24"/>
    <mergeCell ref="Q23:R23"/>
  </mergeCells>
  <phoneticPr fontId="15" type="noConversion"/>
  <pageMargins left="0.75" right="0.75" top="1" bottom="1" header="0.5" footer="0.5"/>
  <pageSetup paperSize="9" orientation="portrait"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2:AR223"/>
  <sheetViews>
    <sheetView showGridLines="0" zoomScale="55" workbookViewId="0">
      <selection activeCell="C6" sqref="C6"/>
    </sheetView>
  </sheetViews>
  <sheetFormatPr defaultColWidth="8.77734375" defaultRowHeight="15" x14ac:dyDescent="0.2"/>
  <cols>
    <col min="1" max="1" width="14.6640625" style="419" customWidth="1"/>
    <col min="2" max="2" width="15.6640625" style="419" customWidth="1"/>
    <col min="3" max="3" width="31" style="419" customWidth="1"/>
    <col min="4" max="4" width="25.44140625" style="419" bestFit="1" customWidth="1"/>
    <col min="5" max="5" width="27.77734375" style="419" customWidth="1"/>
    <col min="6" max="6" width="30" style="419" customWidth="1"/>
    <col min="7" max="7" width="26.44140625" style="419" customWidth="1"/>
    <col min="8" max="8" width="26.6640625" style="419" customWidth="1"/>
    <col min="9" max="9" width="20.88671875" style="419" bestFit="1" customWidth="1"/>
    <col min="10" max="10" width="23.77734375" style="419" customWidth="1"/>
    <col min="11" max="11" width="21.77734375" style="419" customWidth="1"/>
    <col min="12" max="12" width="21.21875" style="419" customWidth="1"/>
    <col min="13" max="13" width="20.88671875" style="419" customWidth="1"/>
    <col min="14" max="17" width="16.109375" style="419" customWidth="1"/>
    <col min="18" max="18" width="21" style="419" customWidth="1"/>
    <col min="19" max="19" width="16.88671875" style="419" customWidth="1"/>
    <col min="20" max="20" width="19.109375" style="419" customWidth="1"/>
    <col min="21" max="21" width="18.6640625" style="419" customWidth="1"/>
    <col min="22" max="22" width="13.5546875" style="419" customWidth="1"/>
    <col min="23" max="23" width="13" style="419" customWidth="1"/>
    <col min="24" max="24" width="12.109375" style="419" customWidth="1"/>
    <col min="25" max="25" width="40.109375" style="419" bestFit="1" customWidth="1"/>
    <col min="26" max="26" width="25.33203125" style="419" bestFit="1" customWidth="1"/>
    <col min="27" max="27" width="15.88671875" style="422" bestFit="1" customWidth="1"/>
    <col min="28" max="28" width="14" style="422" customWidth="1"/>
    <col min="29" max="29" width="23.33203125" style="422" bestFit="1" customWidth="1"/>
    <col min="30" max="30" width="17.77734375" style="422" customWidth="1"/>
    <col min="31" max="31" width="12.109375" style="422" bestFit="1" customWidth="1"/>
    <col min="32" max="32" width="12.33203125" style="422" customWidth="1"/>
    <col min="33" max="34" width="8.77734375" style="419"/>
    <col min="35" max="35" width="38.109375" style="419" bestFit="1" customWidth="1"/>
    <col min="36" max="36" width="21.44140625" style="419" bestFit="1" customWidth="1"/>
    <col min="37" max="37" width="32.109375" style="419" customWidth="1"/>
    <col min="38" max="38" width="30.88671875" style="419" bestFit="1" customWidth="1"/>
    <col min="39" max="39" width="19" style="419" bestFit="1" customWidth="1"/>
    <col min="40" max="40" width="8.77734375" style="419"/>
    <col min="41" max="41" width="17.6640625" style="419" customWidth="1"/>
    <col min="42" max="42" width="12.109375" style="419" bestFit="1" customWidth="1"/>
    <col min="43" max="43" width="18.44140625" style="419" bestFit="1" customWidth="1"/>
    <col min="44" max="16384" width="8.77734375" style="419"/>
  </cols>
  <sheetData>
    <row r="2" spans="1:28" ht="20.25" x14ac:dyDescent="0.3">
      <c r="B2" s="545" t="s">
        <v>246</v>
      </c>
    </row>
    <row r="3" spans="1:28" ht="15.75" x14ac:dyDescent="0.25">
      <c r="A3" s="446"/>
    </row>
    <row r="4" spans="1:28" ht="13.5" customHeight="1" x14ac:dyDescent="0.25">
      <c r="A4" s="446"/>
    </row>
    <row r="5" spans="1:28" ht="15.75" x14ac:dyDescent="0.25">
      <c r="B5" s="446" t="s">
        <v>800</v>
      </c>
      <c r="C5" s="416" t="str">
        <f>'Gross margin summary'!K15</f>
        <v>GM8</v>
      </c>
      <c r="D5" s="417"/>
      <c r="E5" s="446"/>
    </row>
    <row r="7" spans="1:28" ht="18" customHeight="1" x14ac:dyDescent="0.2">
      <c r="A7" s="1"/>
      <c r="B7" s="1"/>
      <c r="C7" s="1"/>
      <c r="D7" s="1"/>
      <c r="E7" s="1"/>
      <c r="F7" s="1"/>
      <c r="G7" s="1"/>
      <c r="H7" s="1"/>
      <c r="I7" s="1"/>
      <c r="J7" s="1"/>
      <c r="K7" s="1"/>
      <c r="L7" s="1"/>
      <c r="M7" s="1"/>
      <c r="N7" s="1"/>
      <c r="O7" s="1"/>
      <c r="P7" s="1"/>
      <c r="Q7" s="1"/>
      <c r="R7" s="1"/>
      <c r="S7" s="1"/>
      <c r="T7" s="1"/>
      <c r="U7" s="1"/>
      <c r="V7" s="1"/>
      <c r="W7" s="1"/>
      <c r="X7" s="1"/>
      <c r="Y7" s="1"/>
      <c r="Z7" s="1"/>
      <c r="AA7" s="6"/>
    </row>
    <row r="8" spans="1:28" ht="18" customHeight="1" x14ac:dyDescent="0.2">
      <c r="A8" s="1"/>
      <c r="B8" s="1"/>
      <c r="C8" s="12" t="s">
        <v>689</v>
      </c>
      <c r="D8" s="546">
        <v>100</v>
      </c>
      <c r="E8" s="1" t="s">
        <v>1000</v>
      </c>
      <c r="L8" s="1"/>
      <c r="M8" s="1"/>
      <c r="O8" s="1"/>
      <c r="P8" s="1"/>
      <c r="Q8" s="1"/>
      <c r="R8" s="1"/>
      <c r="S8" s="1"/>
      <c r="T8" s="1"/>
      <c r="U8" s="1"/>
      <c r="V8" s="1"/>
      <c r="W8" s="1"/>
      <c r="X8" s="1"/>
      <c r="Y8" s="1"/>
      <c r="Z8" s="1"/>
      <c r="AA8" s="6"/>
    </row>
    <row r="9" spans="1:28" ht="18" customHeight="1" x14ac:dyDescent="0.2">
      <c r="A9" s="1"/>
      <c r="B9" s="1"/>
      <c r="C9" s="12" t="s">
        <v>373</v>
      </c>
      <c r="D9" s="546">
        <v>100</v>
      </c>
      <c r="E9" s="419" t="s">
        <v>1000</v>
      </c>
      <c r="F9" s="12"/>
      <c r="G9"/>
      <c r="H9"/>
      <c r="I9"/>
      <c r="J9"/>
      <c r="K9"/>
      <c r="L9" s="1"/>
      <c r="M9" s="1"/>
      <c r="O9" s="1"/>
      <c r="P9" s="1"/>
      <c r="Q9" s="443" t="s">
        <v>645</v>
      </c>
      <c r="R9" s="443"/>
      <c r="S9" s="443"/>
      <c r="T9" s="1"/>
      <c r="U9" s="1"/>
      <c r="V9" s="1"/>
      <c r="W9" s="1"/>
      <c r="X9" s="1"/>
      <c r="Y9" s="1"/>
      <c r="Z9" s="1"/>
      <c r="AA9" s="6"/>
    </row>
    <row r="10" spans="1:28" ht="18" customHeight="1" x14ac:dyDescent="0.2">
      <c r="A10" s="1"/>
      <c r="B10" s="1"/>
      <c r="C10" s="12" t="s">
        <v>690</v>
      </c>
      <c r="D10" s="421">
        <f>IF(D9&lt;=0,0,D9/D8)</f>
        <v>1</v>
      </c>
      <c r="F10" s="12"/>
      <c r="G10"/>
      <c r="H10"/>
      <c r="I10"/>
      <c r="J10"/>
      <c r="K10"/>
      <c r="L10" s="1"/>
      <c r="M10" s="1"/>
      <c r="O10" s="1"/>
      <c r="P10" s="1"/>
      <c r="Q10" s="1"/>
      <c r="R10" s="1"/>
      <c r="S10" s="1"/>
      <c r="T10" s="1"/>
      <c r="U10" s="1"/>
      <c r="V10" s="1"/>
      <c r="W10" s="1"/>
      <c r="X10" s="1"/>
      <c r="Y10" s="1"/>
      <c r="Z10" s="1"/>
      <c r="AA10" s="6"/>
    </row>
    <row r="11" spans="1:28" ht="18" customHeight="1" x14ac:dyDescent="0.25">
      <c r="A11" s="1"/>
      <c r="B11" s="1"/>
      <c r="C11" s="12"/>
      <c r="D11"/>
      <c r="E11" s="1"/>
      <c r="F11" s="12"/>
      <c r="G11"/>
      <c r="H11"/>
      <c r="I11"/>
      <c r="J11"/>
      <c r="K11"/>
      <c r="L11" s="1"/>
      <c r="M11" s="1"/>
      <c r="O11" s="1"/>
      <c r="P11" s="1"/>
      <c r="R11" s="544"/>
      <c r="S11" s="477" t="s">
        <v>698</v>
      </c>
      <c r="T11" s="477" t="s">
        <v>699</v>
      </c>
      <c r="U11" s="477" t="s">
        <v>700</v>
      </c>
      <c r="V11" s="477" t="s">
        <v>701</v>
      </c>
      <c r="W11" s="477" t="s">
        <v>702</v>
      </c>
      <c r="X11" s="477" t="s">
        <v>703</v>
      </c>
      <c r="Y11" s="1"/>
      <c r="Z11" s="424" t="s">
        <v>857</v>
      </c>
      <c r="AA11" s="425"/>
      <c r="AB11" s="6"/>
    </row>
    <row r="12" spans="1:28" ht="18" customHeight="1" x14ac:dyDescent="0.2">
      <c r="A12" s="1"/>
      <c r="B12" s="1"/>
      <c r="C12" s="1"/>
      <c r="D12" s="1"/>
      <c r="E12" s="1"/>
      <c r="F12" s="1"/>
      <c r="G12" s="1"/>
      <c r="H12" s="1"/>
      <c r="I12" s="1"/>
      <c r="J12" s="1"/>
      <c r="K12" s="1"/>
      <c r="L12" s="1"/>
      <c r="M12" s="423"/>
      <c r="N12" s="1"/>
      <c r="O12" s="1"/>
      <c r="P12" s="1"/>
      <c r="Q12" s="583" t="s">
        <v>646</v>
      </c>
      <c r="R12" s="584"/>
      <c r="S12" s="429">
        <f>F16</f>
        <v>0</v>
      </c>
      <c r="T12" s="429">
        <f>F17</f>
        <v>0</v>
      </c>
      <c r="U12" s="429">
        <f>F18</f>
        <v>0</v>
      </c>
      <c r="V12" s="429">
        <f>F19</f>
        <v>0</v>
      </c>
      <c r="W12" s="429">
        <f>F20</f>
        <v>0</v>
      </c>
      <c r="X12" s="429">
        <f>F21</f>
        <v>0</v>
      </c>
      <c r="Z12" s="427" t="s">
        <v>858</v>
      </c>
      <c r="AA12" s="427"/>
      <c r="AB12" s="6"/>
    </row>
    <row r="13" spans="1:28" ht="18" customHeight="1" x14ac:dyDescent="0.25">
      <c r="A13" s="1"/>
      <c r="B13" s="5" t="s">
        <v>691</v>
      </c>
      <c r="C13" s="1"/>
      <c r="D13" s="426" t="s">
        <v>376</v>
      </c>
      <c r="E13" s="426"/>
      <c r="F13" s="426"/>
      <c r="G13" s="426"/>
      <c r="H13" s="1"/>
      <c r="I13" s="1"/>
      <c r="J13" s="1"/>
      <c r="K13" s="1"/>
      <c r="L13" s="1"/>
      <c r="M13" s="1"/>
      <c r="N13" s="1"/>
      <c r="O13" s="1"/>
      <c r="P13" s="1"/>
      <c r="Q13" s="583" t="s">
        <v>647</v>
      </c>
      <c r="R13" s="584"/>
      <c r="S13" s="478">
        <v>0</v>
      </c>
      <c r="T13" s="478">
        <v>0</v>
      </c>
      <c r="U13" s="478">
        <v>0</v>
      </c>
      <c r="V13" s="478">
        <v>0</v>
      </c>
      <c r="W13" s="478">
        <v>0</v>
      </c>
      <c r="X13" s="478">
        <v>0</v>
      </c>
      <c r="Z13" s="428" t="s">
        <v>859</v>
      </c>
      <c r="AA13" s="419"/>
      <c r="AB13" s="6"/>
    </row>
    <row r="14" spans="1:28" ht="18" customHeight="1" x14ac:dyDescent="0.25">
      <c r="A14" s="1"/>
      <c r="B14" s="1"/>
      <c r="C14" s="1"/>
      <c r="D14" s="1"/>
      <c r="E14" s="1"/>
      <c r="F14" s="1"/>
      <c r="G14" s="1"/>
      <c r="H14" s="1"/>
      <c r="I14" s="1"/>
      <c r="J14" s="1"/>
      <c r="K14" s="1"/>
      <c r="L14" s="1"/>
      <c r="M14" s="1"/>
      <c r="N14" s="1"/>
      <c r="O14" s="1"/>
      <c r="P14" s="1"/>
      <c r="Q14" s="583" t="s">
        <v>648</v>
      </c>
      <c r="R14" s="584"/>
      <c r="S14" s="409">
        <f t="shared" ref="S14:X14" si="0">S12*(1-S13)</f>
        <v>0</v>
      </c>
      <c r="T14" s="409">
        <f t="shared" si="0"/>
        <v>0</v>
      </c>
      <c r="U14" s="409">
        <f t="shared" si="0"/>
        <v>0</v>
      </c>
      <c r="V14" s="409">
        <f t="shared" si="0"/>
        <v>0</v>
      </c>
      <c r="W14" s="409">
        <f t="shared" si="0"/>
        <v>0</v>
      </c>
      <c r="X14" s="409">
        <f t="shared" si="0"/>
        <v>0</v>
      </c>
      <c r="Z14" s="430" t="s">
        <v>492</v>
      </c>
      <c r="AA14" s="430" t="s">
        <v>493</v>
      </c>
      <c r="AB14" s="6"/>
    </row>
    <row r="15" spans="1:28" ht="30.75" x14ac:dyDescent="0.25">
      <c r="A15" s="1"/>
      <c r="B15" s="1"/>
      <c r="C15" s="407" t="s">
        <v>377</v>
      </c>
      <c r="D15" s="407" t="s">
        <v>692</v>
      </c>
      <c r="E15" s="407" t="s">
        <v>391</v>
      </c>
      <c r="F15" s="407" t="s">
        <v>693</v>
      </c>
      <c r="G15" s="407" t="s">
        <v>694</v>
      </c>
      <c r="H15" s="407" t="s">
        <v>695</v>
      </c>
      <c r="I15" s="407" t="s">
        <v>559</v>
      </c>
      <c r="J15" s="407" t="s">
        <v>560</v>
      </c>
      <c r="K15" s="407" t="s">
        <v>696</v>
      </c>
      <c r="L15" s="407" t="s">
        <v>697</v>
      </c>
      <c r="M15"/>
      <c r="N15"/>
      <c r="Q15" s="583" t="s">
        <v>682</v>
      </c>
      <c r="R15" s="584"/>
      <c r="S15" s="445"/>
      <c r="T15" s="445"/>
      <c r="U15" s="445"/>
      <c r="V15" s="445"/>
      <c r="W15" s="445"/>
      <c r="X15" s="445"/>
      <c r="Z15" s="434" t="s">
        <v>494</v>
      </c>
      <c r="AA15" s="434" t="s">
        <v>495</v>
      </c>
      <c r="AB15" s="6"/>
    </row>
    <row r="16" spans="1:28" ht="18" customHeight="1" x14ac:dyDescent="0.2">
      <c r="A16" s="1"/>
      <c r="B16" s="1" t="s">
        <v>698</v>
      </c>
      <c r="C16" s="431"/>
      <c r="D16" s="479"/>
      <c r="E16" s="480"/>
      <c r="F16" s="432"/>
      <c r="G16" s="433">
        <f t="shared" ref="G16:G21" si="1">F16*E16</f>
        <v>0</v>
      </c>
      <c r="H16" s="411">
        <f t="shared" ref="H16:H21" si="2">G16*D16</f>
        <v>0</v>
      </c>
      <c r="I16" s="413">
        <f t="shared" ref="I16:I21" si="3">D16/$D$8</f>
        <v>0</v>
      </c>
      <c r="J16" s="413">
        <f t="shared" ref="J16:J21" si="4">IF(D16&lt;=0,0,$D$8/D16)</f>
        <v>0</v>
      </c>
      <c r="K16" s="413">
        <f t="shared" ref="K16:K21" si="5">D16/$D$9</f>
        <v>0</v>
      </c>
      <c r="L16" s="413">
        <f t="shared" ref="L16:L21" si="6">IF(D16&lt;=0,0,$D$9/D16)</f>
        <v>0</v>
      </c>
      <c r="M16"/>
      <c r="N16"/>
      <c r="Q16" s="583" t="s">
        <v>683</v>
      </c>
      <c r="R16" s="584"/>
      <c r="S16" s="433">
        <f t="shared" ref="S16:X16" si="7">S15*S14</f>
        <v>0</v>
      </c>
      <c r="T16" s="433">
        <f t="shared" si="7"/>
        <v>0</v>
      </c>
      <c r="U16" s="433">
        <f t="shared" si="7"/>
        <v>0</v>
      </c>
      <c r="V16" s="433">
        <f t="shared" si="7"/>
        <v>0</v>
      </c>
      <c r="W16" s="433">
        <f t="shared" si="7"/>
        <v>0</v>
      </c>
      <c r="X16" s="433">
        <f t="shared" si="7"/>
        <v>0</v>
      </c>
      <c r="Z16" s="437">
        <v>250</v>
      </c>
      <c r="AA16" s="437">
        <v>38</v>
      </c>
      <c r="AB16" s="6"/>
    </row>
    <row r="17" spans="1:28" ht="18" customHeight="1" x14ac:dyDescent="0.2">
      <c r="A17" s="1"/>
      <c r="B17" s="1" t="s">
        <v>699</v>
      </c>
      <c r="C17" s="431"/>
      <c r="D17" s="435"/>
      <c r="E17" s="436"/>
      <c r="F17" s="432"/>
      <c r="G17" s="433">
        <f t="shared" si="1"/>
        <v>0</v>
      </c>
      <c r="H17" s="411">
        <f t="shared" si="2"/>
        <v>0</v>
      </c>
      <c r="I17" s="413">
        <f t="shared" si="3"/>
        <v>0</v>
      </c>
      <c r="J17" s="413">
        <f t="shared" si="4"/>
        <v>0</v>
      </c>
      <c r="K17" s="413">
        <f t="shared" si="5"/>
        <v>0</v>
      </c>
      <c r="L17" s="413">
        <f t="shared" si="6"/>
        <v>0</v>
      </c>
      <c r="M17"/>
      <c r="N17"/>
      <c r="Q17" s="583" t="s">
        <v>651</v>
      </c>
      <c r="R17" s="584"/>
      <c r="S17" s="478">
        <v>3.5000000000000003E-2</v>
      </c>
      <c r="T17" s="478"/>
      <c r="U17" s="478"/>
      <c r="V17" s="478"/>
      <c r="W17" s="478"/>
      <c r="X17" s="478"/>
      <c r="Z17" s="438">
        <v>300</v>
      </c>
      <c r="AA17" s="438">
        <v>34</v>
      </c>
      <c r="AB17" s="6"/>
    </row>
    <row r="18" spans="1:28" ht="18" customHeight="1" x14ac:dyDescent="0.2">
      <c r="A18" s="1"/>
      <c r="B18" s="1" t="s">
        <v>700</v>
      </c>
      <c r="C18" s="431"/>
      <c r="D18" s="435"/>
      <c r="E18" s="436"/>
      <c r="F18" s="432"/>
      <c r="G18" s="433">
        <f t="shared" si="1"/>
        <v>0</v>
      </c>
      <c r="H18" s="411">
        <f t="shared" si="2"/>
        <v>0</v>
      </c>
      <c r="I18" s="413">
        <f t="shared" si="3"/>
        <v>0</v>
      </c>
      <c r="J18" s="413">
        <f t="shared" si="4"/>
        <v>0</v>
      </c>
      <c r="K18" s="413">
        <f t="shared" si="5"/>
        <v>0</v>
      </c>
      <c r="L18" s="413">
        <f t="shared" si="6"/>
        <v>0</v>
      </c>
      <c r="Q18" s="583" t="s">
        <v>684</v>
      </c>
      <c r="R18" s="584"/>
      <c r="S18" s="433">
        <f t="shared" ref="S18:X18" si="8">S17*S16</f>
        <v>0</v>
      </c>
      <c r="T18" s="433">
        <f t="shared" si="8"/>
        <v>0</v>
      </c>
      <c r="U18" s="433">
        <f t="shared" si="8"/>
        <v>0</v>
      </c>
      <c r="V18" s="433">
        <f t="shared" si="8"/>
        <v>0</v>
      </c>
      <c r="W18" s="433">
        <f t="shared" si="8"/>
        <v>0</v>
      </c>
      <c r="X18" s="433">
        <f t="shared" si="8"/>
        <v>0</v>
      </c>
      <c r="Z18" s="438">
        <v>350</v>
      </c>
      <c r="AA18" s="438">
        <v>30</v>
      </c>
      <c r="AB18" s="6"/>
    </row>
    <row r="19" spans="1:28" ht="18" customHeight="1" x14ac:dyDescent="0.2">
      <c r="A19" s="1"/>
      <c r="B19" s="1" t="s">
        <v>701</v>
      </c>
      <c r="C19" s="431"/>
      <c r="D19" s="435"/>
      <c r="E19" s="436"/>
      <c r="F19" s="432"/>
      <c r="G19" s="433">
        <f t="shared" si="1"/>
        <v>0</v>
      </c>
      <c r="H19" s="411">
        <f t="shared" si="2"/>
        <v>0</v>
      </c>
      <c r="I19" s="413">
        <f t="shared" si="3"/>
        <v>0</v>
      </c>
      <c r="J19" s="413">
        <f t="shared" si="4"/>
        <v>0</v>
      </c>
      <c r="K19" s="413">
        <f t="shared" si="5"/>
        <v>0</v>
      </c>
      <c r="L19" s="413">
        <f t="shared" si="6"/>
        <v>0</v>
      </c>
      <c r="Q19" s="583" t="s">
        <v>653</v>
      </c>
      <c r="R19" s="584"/>
      <c r="S19" s="445"/>
      <c r="T19" s="445"/>
      <c r="U19" s="445"/>
      <c r="V19" s="445"/>
      <c r="W19" s="445"/>
      <c r="X19" s="445"/>
      <c r="Z19" s="438">
        <v>400</v>
      </c>
      <c r="AA19" s="438">
        <v>28</v>
      </c>
      <c r="AB19" s="6"/>
    </row>
    <row r="20" spans="1:28" ht="18" customHeight="1" x14ac:dyDescent="0.2">
      <c r="A20" s="1"/>
      <c r="B20" s="1" t="s">
        <v>702</v>
      </c>
      <c r="C20" s="431"/>
      <c r="D20" s="435"/>
      <c r="E20" s="436"/>
      <c r="F20" s="432"/>
      <c r="G20" s="433">
        <f t="shared" si="1"/>
        <v>0</v>
      </c>
      <c r="H20" s="411">
        <f t="shared" si="2"/>
        <v>0</v>
      </c>
      <c r="I20" s="413">
        <f t="shared" si="3"/>
        <v>0</v>
      </c>
      <c r="J20" s="413">
        <f t="shared" si="4"/>
        <v>0</v>
      </c>
      <c r="K20" s="413">
        <f t="shared" si="5"/>
        <v>0</v>
      </c>
      <c r="L20" s="413">
        <f t="shared" si="6"/>
        <v>0</v>
      </c>
      <c r="Q20" s="583" t="s">
        <v>685</v>
      </c>
      <c r="R20" s="584"/>
      <c r="S20" s="445"/>
      <c r="T20" s="445"/>
      <c r="U20" s="445"/>
      <c r="V20" s="445"/>
      <c r="W20" s="445"/>
      <c r="X20" s="445"/>
      <c r="Z20" s="438">
        <v>450</v>
      </c>
      <c r="AA20" s="438">
        <v>26</v>
      </c>
      <c r="AB20" s="6"/>
    </row>
    <row r="21" spans="1:28" ht="18" customHeight="1" x14ac:dyDescent="0.2">
      <c r="A21" s="1"/>
      <c r="B21" s="1" t="s">
        <v>703</v>
      </c>
      <c r="C21" s="431"/>
      <c r="D21" s="435"/>
      <c r="E21" s="436"/>
      <c r="F21" s="432"/>
      <c r="G21" s="433">
        <f t="shared" si="1"/>
        <v>0</v>
      </c>
      <c r="H21" s="411">
        <f t="shared" si="2"/>
        <v>0</v>
      </c>
      <c r="I21" s="413">
        <f t="shared" si="3"/>
        <v>0</v>
      </c>
      <c r="J21" s="413">
        <f t="shared" si="4"/>
        <v>0</v>
      </c>
      <c r="K21" s="413">
        <f t="shared" si="5"/>
        <v>0</v>
      </c>
      <c r="L21" s="413">
        <f t="shared" si="6"/>
        <v>0</v>
      </c>
      <c r="Q21" s="583" t="s">
        <v>655</v>
      </c>
      <c r="R21" s="584"/>
      <c r="S21" s="433">
        <f t="shared" ref="S21:X21" si="9">S16-S18-S19-S20</f>
        <v>0</v>
      </c>
      <c r="T21" s="433">
        <f t="shared" si="9"/>
        <v>0</v>
      </c>
      <c r="U21" s="433">
        <f t="shared" si="9"/>
        <v>0</v>
      </c>
      <c r="V21" s="433">
        <f t="shared" si="9"/>
        <v>0</v>
      </c>
      <c r="W21" s="433">
        <f t="shared" si="9"/>
        <v>0</v>
      </c>
      <c r="X21" s="433">
        <f t="shared" si="9"/>
        <v>0</v>
      </c>
      <c r="Z21" s="438">
        <v>500</v>
      </c>
      <c r="AA21" s="438">
        <v>24</v>
      </c>
      <c r="AB21" s="6"/>
    </row>
    <row r="22" spans="1:28" ht="18" customHeight="1" thickBot="1" x14ac:dyDescent="0.25">
      <c r="A22" s="1"/>
      <c r="B22" s="1"/>
      <c r="C22" s="1"/>
      <c r="D22" s="1"/>
      <c r="E22" s="1"/>
      <c r="F22" s="439">
        <f>SUMPRODUCT(D16:D21,F16:F21)</f>
        <v>0</v>
      </c>
      <c r="G22" s="1"/>
      <c r="H22" s="440">
        <f>SUM(H16:H21)</f>
        <v>0</v>
      </c>
      <c r="I22" s="1"/>
      <c r="J22" s="1"/>
      <c r="K22" s="1"/>
      <c r="L22" s="1"/>
      <c r="Q22" s="583" t="s">
        <v>656</v>
      </c>
      <c r="R22" s="584"/>
      <c r="S22" s="409">
        <f t="shared" ref="S22:X22" si="10">S12</f>
        <v>0</v>
      </c>
      <c r="T22" s="409">
        <f t="shared" si="10"/>
        <v>0</v>
      </c>
      <c r="U22" s="409">
        <f t="shared" si="10"/>
        <v>0</v>
      </c>
      <c r="V22" s="409">
        <f t="shared" si="10"/>
        <v>0</v>
      </c>
      <c r="W22" s="409">
        <f t="shared" si="10"/>
        <v>0</v>
      </c>
      <c r="X22" s="409">
        <f t="shared" si="10"/>
        <v>0</v>
      </c>
      <c r="Z22" s="438">
        <v>550</v>
      </c>
      <c r="AA22" s="438">
        <v>22</v>
      </c>
      <c r="AB22" s="6"/>
    </row>
    <row r="23" spans="1:28" ht="18" customHeight="1" thickTop="1" x14ac:dyDescent="0.2">
      <c r="A23" s="1"/>
      <c r="B23" s="1"/>
      <c r="C23" s="1"/>
      <c r="D23" s="1"/>
      <c r="E23" s="1"/>
      <c r="F23" s="1"/>
      <c r="G23" s="1"/>
      <c r="H23" s="1"/>
      <c r="I23" s="1"/>
      <c r="J23" s="1"/>
      <c r="K23" s="1"/>
      <c r="L23" s="1"/>
      <c r="M23" s="1"/>
      <c r="N23" s="1"/>
      <c r="O23" s="1"/>
      <c r="P23" s="1"/>
      <c r="Q23" s="583" t="s">
        <v>686</v>
      </c>
      <c r="R23" s="584"/>
      <c r="S23" s="433">
        <f t="shared" ref="S23:X23" si="11">IF(S14&gt;0,(S18+S19+S20)/S14,0)</f>
        <v>0</v>
      </c>
      <c r="T23" s="433">
        <f t="shared" si="11"/>
        <v>0</v>
      </c>
      <c r="U23" s="433">
        <f t="shared" si="11"/>
        <v>0</v>
      </c>
      <c r="V23" s="433">
        <f t="shared" si="11"/>
        <v>0</v>
      </c>
      <c r="W23" s="433">
        <f t="shared" si="11"/>
        <v>0</v>
      </c>
      <c r="X23" s="433">
        <f t="shared" si="11"/>
        <v>0</v>
      </c>
      <c r="Z23" s="438">
        <v>600</v>
      </c>
      <c r="AA23" s="438">
        <v>20</v>
      </c>
      <c r="AB23" s="6"/>
    </row>
    <row r="24" spans="1:28" ht="18" customHeight="1" x14ac:dyDescent="0.2">
      <c r="A24" s="1"/>
      <c r="C24" s="1"/>
      <c r="D24" s="1"/>
      <c r="E24" s="1"/>
      <c r="F24" s="1"/>
      <c r="G24" s="1"/>
      <c r="H24" s="1"/>
      <c r="I24" s="1"/>
      <c r="J24" s="1"/>
      <c r="K24" s="1"/>
      <c r="L24" s="1"/>
      <c r="M24" s="1"/>
      <c r="N24" s="1"/>
      <c r="O24" s="1"/>
      <c r="P24" s="1"/>
      <c r="Q24" s="583" t="s">
        <v>687</v>
      </c>
      <c r="R24" s="584"/>
      <c r="S24" s="433">
        <f t="shared" ref="S24:X24" si="12">IF(S22&gt;0,S21/S22,0)</f>
        <v>0</v>
      </c>
      <c r="T24" s="433">
        <f t="shared" si="12"/>
        <v>0</v>
      </c>
      <c r="U24" s="433">
        <f t="shared" si="12"/>
        <v>0</v>
      </c>
      <c r="V24" s="433">
        <f t="shared" si="12"/>
        <v>0</v>
      </c>
      <c r="W24" s="433">
        <f t="shared" si="12"/>
        <v>0</v>
      </c>
      <c r="X24" s="433">
        <f t="shared" si="12"/>
        <v>0</v>
      </c>
      <c r="Z24" s="438">
        <v>650</v>
      </c>
      <c r="AA24" s="438">
        <v>18</v>
      </c>
      <c r="AB24" s="6"/>
    </row>
    <row r="25" spans="1:28" customFormat="1" ht="18" customHeight="1" x14ac:dyDescent="0.2"/>
    <row r="26" spans="1:28" customFormat="1" ht="18" customHeight="1" x14ac:dyDescent="0.25">
      <c r="B26" s="5" t="s">
        <v>390</v>
      </c>
      <c r="C26" s="419"/>
      <c r="D26" s="193"/>
      <c r="E26" s="193"/>
      <c r="F26" s="193"/>
      <c r="G26" s="193"/>
      <c r="H26" s="193"/>
      <c r="I26" s="193"/>
      <c r="J26" s="419"/>
      <c r="K26" s="419"/>
      <c r="L26" s="245"/>
    </row>
    <row r="27" spans="1:28" customFormat="1" ht="18" customHeight="1" x14ac:dyDescent="0.25">
      <c r="B27" s="446"/>
      <c r="C27" s="255"/>
      <c r="D27" s="193"/>
      <c r="E27" s="193"/>
      <c r="F27" s="193"/>
      <c r="G27" s="193"/>
      <c r="H27" s="193"/>
      <c r="I27" s="193"/>
      <c r="J27" s="193"/>
      <c r="K27" s="419"/>
      <c r="L27" s="245"/>
    </row>
    <row r="28" spans="1:28" customFormat="1" ht="30.75" x14ac:dyDescent="0.25">
      <c r="C28" s="407" t="s">
        <v>866</v>
      </c>
      <c r="D28" s="407" t="s">
        <v>867</v>
      </c>
      <c r="E28" s="407" t="s">
        <v>384</v>
      </c>
      <c r="F28" s="408" t="s">
        <v>716</v>
      </c>
      <c r="G28" s="408" t="s">
        <v>385</v>
      </c>
      <c r="H28" s="408" t="s">
        <v>386</v>
      </c>
      <c r="I28" s="407" t="s">
        <v>387</v>
      </c>
      <c r="J28" s="407" t="s">
        <v>389</v>
      </c>
      <c r="K28" s="407" t="s">
        <v>688</v>
      </c>
      <c r="L28" s="407" t="s">
        <v>388</v>
      </c>
      <c r="Z28" s="446" t="s">
        <v>375</v>
      </c>
      <c r="AA28" s="419"/>
    </row>
    <row r="29" spans="1:28" customFormat="1" ht="18" customHeight="1" x14ac:dyDescent="0.2">
      <c r="B29" s="1" t="s">
        <v>698</v>
      </c>
      <c r="C29" s="409">
        <f t="shared" ref="C29:C34" si="13">D16</f>
        <v>0</v>
      </c>
      <c r="D29" s="409">
        <f t="shared" ref="D29:D34" si="14">F16</f>
        <v>0</v>
      </c>
      <c r="E29" s="450"/>
      <c r="F29" s="451"/>
      <c r="G29" s="450"/>
      <c r="H29" s="411">
        <f t="shared" ref="H29:H34" si="15">IF(C29&gt;0,C29*E29*F29/G29,0)</f>
        <v>0</v>
      </c>
      <c r="I29" s="433">
        <f t="shared" ref="I29:I34" si="16">IF(C29&gt;0,H29/C29,0)</f>
        <v>0</v>
      </c>
      <c r="J29" s="549">
        <v>0</v>
      </c>
      <c r="K29" s="549">
        <v>0</v>
      </c>
      <c r="L29" s="433">
        <f t="shared" ref="L29:L34" si="17">K29*C29</f>
        <v>0</v>
      </c>
      <c r="Z29" s="419"/>
      <c r="AA29" s="419"/>
    </row>
    <row r="30" spans="1:28" customFormat="1" ht="18" customHeight="1" x14ac:dyDescent="0.25">
      <c r="B30" s="1" t="s">
        <v>699</v>
      </c>
      <c r="C30" s="409">
        <f t="shared" si="13"/>
        <v>0</v>
      </c>
      <c r="D30" s="409">
        <f t="shared" si="14"/>
        <v>0</v>
      </c>
      <c r="E30" s="450"/>
      <c r="F30" s="451"/>
      <c r="G30" s="450"/>
      <c r="H30" s="411">
        <f t="shared" si="15"/>
        <v>0</v>
      </c>
      <c r="I30" s="433">
        <f t="shared" si="16"/>
        <v>0</v>
      </c>
      <c r="J30" s="549">
        <v>0</v>
      </c>
      <c r="K30" s="549">
        <v>0</v>
      </c>
      <c r="L30" s="433">
        <f t="shared" si="17"/>
        <v>0</v>
      </c>
      <c r="Z30" s="362" t="s">
        <v>374</v>
      </c>
      <c r="AA30" s="548">
        <f>D16</f>
        <v>0</v>
      </c>
    </row>
    <row r="31" spans="1:28" customFormat="1" ht="18" customHeight="1" x14ac:dyDescent="0.25">
      <c r="B31" s="1" t="s">
        <v>700</v>
      </c>
      <c r="C31" s="409">
        <f t="shared" si="13"/>
        <v>0</v>
      </c>
      <c r="D31" s="409">
        <f t="shared" si="14"/>
        <v>0</v>
      </c>
      <c r="E31" s="450"/>
      <c r="F31" s="451"/>
      <c r="G31" s="450"/>
      <c r="H31" s="411">
        <f t="shared" si="15"/>
        <v>0</v>
      </c>
      <c r="I31" s="433">
        <f t="shared" si="16"/>
        <v>0</v>
      </c>
      <c r="J31" s="549">
        <v>0</v>
      </c>
      <c r="K31" s="549">
        <v>0</v>
      </c>
      <c r="L31" s="433">
        <f t="shared" si="17"/>
        <v>0</v>
      </c>
      <c r="Z31" s="362" t="s">
        <v>868</v>
      </c>
      <c r="AA31" s="256">
        <v>200</v>
      </c>
    </row>
    <row r="32" spans="1:28" customFormat="1" ht="18" customHeight="1" x14ac:dyDescent="0.25">
      <c r="B32" s="1" t="s">
        <v>701</v>
      </c>
      <c r="C32" s="409">
        <f t="shared" si="13"/>
        <v>0</v>
      </c>
      <c r="D32" s="409">
        <f t="shared" si="14"/>
        <v>0</v>
      </c>
      <c r="E32" s="450"/>
      <c r="F32" s="451"/>
      <c r="G32" s="450"/>
      <c r="H32" s="411">
        <f t="shared" si="15"/>
        <v>0</v>
      </c>
      <c r="I32" s="433">
        <f t="shared" si="16"/>
        <v>0</v>
      </c>
      <c r="J32" s="549">
        <v>0</v>
      </c>
      <c r="K32" s="549">
        <v>0</v>
      </c>
      <c r="L32" s="433">
        <f t="shared" si="17"/>
        <v>0</v>
      </c>
      <c r="Z32" s="362" t="s">
        <v>869</v>
      </c>
      <c r="AA32" s="257">
        <v>2</v>
      </c>
    </row>
    <row r="33" spans="1:38" customFormat="1" ht="18" customHeight="1" x14ac:dyDescent="0.25">
      <c r="B33" s="1" t="s">
        <v>702</v>
      </c>
      <c r="C33" s="409">
        <f t="shared" si="13"/>
        <v>0</v>
      </c>
      <c r="D33" s="409">
        <f t="shared" si="14"/>
        <v>0</v>
      </c>
      <c r="E33" s="450"/>
      <c r="F33" s="451"/>
      <c r="G33" s="450"/>
      <c r="H33" s="411">
        <f t="shared" si="15"/>
        <v>0</v>
      </c>
      <c r="I33" s="433">
        <f t="shared" si="16"/>
        <v>0</v>
      </c>
      <c r="J33" s="549">
        <v>0</v>
      </c>
      <c r="K33" s="549">
        <v>0</v>
      </c>
      <c r="L33" s="433">
        <f t="shared" si="17"/>
        <v>0</v>
      </c>
      <c r="Z33" s="362" t="s">
        <v>870</v>
      </c>
      <c r="AA33" s="256">
        <v>28</v>
      </c>
    </row>
    <row r="34" spans="1:38" customFormat="1" ht="18" customHeight="1" x14ac:dyDescent="0.25">
      <c r="B34" s="1" t="s">
        <v>703</v>
      </c>
      <c r="C34" s="409">
        <f t="shared" si="13"/>
        <v>0</v>
      </c>
      <c r="D34" s="409">
        <f t="shared" si="14"/>
        <v>0</v>
      </c>
      <c r="E34" s="450"/>
      <c r="F34" s="451"/>
      <c r="G34" s="450"/>
      <c r="H34" s="411">
        <f t="shared" si="15"/>
        <v>0</v>
      </c>
      <c r="I34" s="433">
        <f t="shared" si="16"/>
        <v>0</v>
      </c>
      <c r="J34" s="549">
        <v>0</v>
      </c>
      <c r="K34" s="549">
        <v>0</v>
      </c>
      <c r="L34" s="433">
        <f t="shared" si="17"/>
        <v>0</v>
      </c>
      <c r="Z34" s="362" t="s">
        <v>993</v>
      </c>
      <c r="AA34" s="411">
        <f>IF(AA30&gt;0,AA30*AA31*AA32/AA33,0)</f>
        <v>0</v>
      </c>
    </row>
    <row r="35" spans="1:38" customFormat="1" ht="18" customHeight="1" thickBot="1" x14ac:dyDescent="0.3">
      <c r="B35" s="419"/>
      <c r="C35" s="419"/>
      <c r="D35" s="419"/>
      <c r="E35" s="419"/>
      <c r="F35" s="419"/>
      <c r="G35" s="419"/>
      <c r="H35" s="440">
        <f>SUM(H29:H34)</f>
        <v>0</v>
      </c>
      <c r="I35" s="419"/>
      <c r="J35" s="440">
        <f>SUM(J29:J34)</f>
        <v>0</v>
      </c>
      <c r="K35" s="419"/>
      <c r="L35" s="440">
        <f>SUM(L29:L34)</f>
        <v>0</v>
      </c>
      <c r="Z35" s="362" t="s">
        <v>871</v>
      </c>
      <c r="AA35" s="433">
        <f>IF(AA30&gt;0,AA34/AA30,0)</f>
        <v>0</v>
      </c>
    </row>
    <row r="36" spans="1:38" customFormat="1" ht="18" customHeight="1" thickTop="1" x14ac:dyDescent="0.2"/>
    <row r="37" spans="1:38" customFormat="1" ht="18" customHeight="1" x14ac:dyDescent="0.2"/>
    <row r="38" spans="1:38" customFormat="1" ht="18" customHeight="1" x14ac:dyDescent="0.25">
      <c r="B38" s="5" t="s">
        <v>392</v>
      </c>
      <c r="C38" s="1"/>
      <c r="D38" s="1"/>
      <c r="E38" s="1"/>
      <c r="F38" s="1"/>
      <c r="G38" s="1"/>
      <c r="H38" s="1"/>
      <c r="I38" s="1"/>
      <c r="J38" s="1"/>
      <c r="K38" s="1"/>
      <c r="L38" s="419"/>
      <c r="M38" s="419"/>
      <c r="N38" s="419"/>
      <c r="O38" s="419"/>
      <c r="P38" s="419"/>
    </row>
    <row r="39" spans="1:38" ht="18" customHeight="1" x14ac:dyDescent="0.2">
      <c r="A39" s="1"/>
      <c r="B39" s="1"/>
      <c r="C39" s="1"/>
      <c r="D39" s="1"/>
      <c r="E39" s="1"/>
      <c r="F39" s="1"/>
      <c r="G39" s="1"/>
      <c r="H39" s="1"/>
      <c r="I39" s="1"/>
      <c r="J39" s="1"/>
      <c r="K39" s="1"/>
      <c r="Q39" s="1"/>
      <c r="R39" s="1"/>
      <c r="S39" s="1"/>
      <c r="T39" s="1"/>
      <c r="U39" s="1"/>
      <c r="V39" s="1"/>
      <c r="W39" s="1"/>
      <c r="X39" s="1"/>
      <c r="AA39" s="419"/>
    </row>
    <row r="40" spans="1:38" ht="28.5" customHeight="1" x14ac:dyDescent="0.2">
      <c r="A40" s="1"/>
      <c r="B40" s="1"/>
      <c r="C40" s="407" t="s">
        <v>720</v>
      </c>
      <c r="D40" s="408" t="s">
        <v>883</v>
      </c>
      <c r="E40" s="408" t="s">
        <v>884</v>
      </c>
      <c r="F40" s="408" t="s">
        <v>885</v>
      </c>
      <c r="G40" s="408" t="s">
        <v>886</v>
      </c>
      <c r="H40" s="408" t="s">
        <v>887</v>
      </c>
      <c r="I40" s="408" t="s">
        <v>888</v>
      </c>
      <c r="J40" s="408" t="s">
        <v>889</v>
      </c>
      <c r="K40" s="408" t="s">
        <v>395</v>
      </c>
      <c r="L40" s="408" t="s">
        <v>337</v>
      </c>
      <c r="M40" s="408" t="s">
        <v>993</v>
      </c>
      <c r="X40" s="1"/>
      <c r="Y40" s="1"/>
      <c r="AA40" s="419"/>
    </row>
    <row r="41" spans="1:38" ht="18" customHeight="1" x14ac:dyDescent="0.2">
      <c r="A41" s="1"/>
      <c r="B41" s="1" t="s">
        <v>698</v>
      </c>
      <c r="C41" s="409">
        <f t="shared" ref="C41:C46" si="18">D16</f>
        <v>0</v>
      </c>
      <c r="D41" s="410"/>
      <c r="E41" s="410"/>
      <c r="F41" s="410"/>
      <c r="G41" s="410"/>
      <c r="H41" s="410"/>
      <c r="I41" s="410"/>
      <c r="J41" s="410"/>
      <c r="K41" s="410"/>
      <c r="L41" s="410"/>
      <c r="M41" s="411">
        <f t="shared" ref="M41:M46" si="19">SUM(D41:L41)*C41</f>
        <v>0</v>
      </c>
      <c r="X41" s="1"/>
      <c r="AA41" s="419"/>
      <c r="AB41" s="419"/>
      <c r="AC41" s="419"/>
      <c r="AD41" s="419"/>
      <c r="AE41" s="419"/>
      <c r="AF41" s="419"/>
    </row>
    <row r="42" spans="1:38" ht="18" customHeight="1" x14ac:dyDescent="0.2">
      <c r="A42" s="1"/>
      <c r="B42" s="1" t="s">
        <v>699</v>
      </c>
      <c r="C42" s="409">
        <f t="shared" si="18"/>
        <v>0</v>
      </c>
      <c r="D42" s="410"/>
      <c r="E42" s="410"/>
      <c r="F42" s="410"/>
      <c r="G42" s="410"/>
      <c r="H42" s="410"/>
      <c r="I42" s="410"/>
      <c r="J42" s="410"/>
      <c r="K42" s="410"/>
      <c r="L42" s="410"/>
      <c r="M42" s="411">
        <f t="shared" si="19"/>
        <v>0</v>
      </c>
      <c r="X42" s="1"/>
      <c r="AA42" s="419"/>
      <c r="AB42" s="419"/>
      <c r="AC42" s="419"/>
      <c r="AD42" s="419"/>
      <c r="AE42" s="419"/>
      <c r="AF42" s="419"/>
    </row>
    <row r="43" spans="1:38" ht="18" customHeight="1" x14ac:dyDescent="0.2">
      <c r="A43" s="1"/>
      <c r="B43" s="1" t="s">
        <v>700</v>
      </c>
      <c r="C43" s="409">
        <f t="shared" si="18"/>
        <v>0</v>
      </c>
      <c r="D43" s="410"/>
      <c r="E43" s="410"/>
      <c r="F43" s="410"/>
      <c r="G43" s="410"/>
      <c r="H43" s="410"/>
      <c r="I43" s="410"/>
      <c r="J43" s="410"/>
      <c r="K43" s="410"/>
      <c r="L43" s="410"/>
      <c r="M43" s="411">
        <f t="shared" si="19"/>
        <v>0</v>
      </c>
      <c r="X43" s="1"/>
      <c r="AA43" s="419"/>
      <c r="AB43" s="419"/>
      <c r="AC43" s="419"/>
      <c r="AD43" s="419"/>
      <c r="AE43" s="419"/>
      <c r="AF43" s="419"/>
    </row>
    <row r="44" spans="1:38" ht="18" customHeight="1" x14ac:dyDescent="0.2">
      <c r="A44" s="1"/>
      <c r="B44" s="1" t="s">
        <v>701</v>
      </c>
      <c r="C44" s="409">
        <f t="shared" si="18"/>
        <v>0</v>
      </c>
      <c r="D44" s="410"/>
      <c r="E44" s="410"/>
      <c r="F44" s="410"/>
      <c r="G44" s="410"/>
      <c r="H44" s="410"/>
      <c r="I44" s="410"/>
      <c r="J44" s="410"/>
      <c r="K44" s="410"/>
      <c r="L44" s="410"/>
      <c r="M44" s="411">
        <f t="shared" si="19"/>
        <v>0</v>
      </c>
      <c r="X44" s="1"/>
      <c r="AA44" s="419"/>
      <c r="AB44" s="419"/>
      <c r="AC44" s="419"/>
      <c r="AD44" s="419"/>
      <c r="AE44" s="419"/>
      <c r="AF44" s="419"/>
    </row>
    <row r="45" spans="1:38" ht="18" customHeight="1" x14ac:dyDescent="0.2">
      <c r="A45" s="1"/>
      <c r="B45" s="1" t="s">
        <v>702</v>
      </c>
      <c r="C45" s="409">
        <f t="shared" si="18"/>
        <v>0</v>
      </c>
      <c r="D45" s="410"/>
      <c r="E45" s="410"/>
      <c r="F45" s="410"/>
      <c r="G45" s="410"/>
      <c r="H45" s="410"/>
      <c r="I45" s="410"/>
      <c r="J45" s="410"/>
      <c r="K45" s="410"/>
      <c r="L45" s="410"/>
      <c r="M45" s="411">
        <f t="shared" si="19"/>
        <v>0</v>
      </c>
      <c r="X45" s="1"/>
      <c r="AA45" s="419"/>
      <c r="AB45" s="419"/>
      <c r="AC45" s="419"/>
      <c r="AD45" s="419"/>
      <c r="AE45" s="419"/>
      <c r="AF45" s="419"/>
      <c r="AL45" s="444"/>
    </row>
    <row r="46" spans="1:38" ht="18" customHeight="1" x14ac:dyDescent="0.2">
      <c r="A46" s="1"/>
      <c r="B46" s="1" t="s">
        <v>703</v>
      </c>
      <c r="C46" s="409">
        <f t="shared" si="18"/>
        <v>0</v>
      </c>
      <c r="D46" s="410"/>
      <c r="E46" s="410"/>
      <c r="F46" s="410"/>
      <c r="G46" s="410"/>
      <c r="H46" s="410"/>
      <c r="I46" s="410"/>
      <c r="J46" s="410"/>
      <c r="K46" s="410"/>
      <c r="L46" s="410"/>
      <c r="M46" s="411">
        <f t="shared" si="19"/>
        <v>0</v>
      </c>
      <c r="X46" s="1"/>
      <c r="AA46" s="419"/>
      <c r="AB46" s="419"/>
      <c r="AC46" s="419"/>
      <c r="AD46" s="419"/>
      <c r="AE46" s="419"/>
      <c r="AF46" s="419"/>
      <c r="AK46" s="444"/>
      <c r="AL46" s="444"/>
    </row>
    <row r="47" spans="1:38" ht="18" customHeight="1" x14ac:dyDescent="0.2">
      <c r="A47" s="1"/>
      <c r="B47" s="1"/>
      <c r="C47" s="1"/>
      <c r="D47" s="412">
        <f t="shared" ref="D47:L47" si="20">SUMPRODUCT($C$41:$C$46,D41:D46)</f>
        <v>0</v>
      </c>
      <c r="E47" s="412">
        <f t="shared" si="20"/>
        <v>0</v>
      </c>
      <c r="F47" s="412">
        <f t="shared" si="20"/>
        <v>0</v>
      </c>
      <c r="G47" s="412">
        <f t="shared" si="20"/>
        <v>0</v>
      </c>
      <c r="H47" s="412">
        <f t="shared" si="20"/>
        <v>0</v>
      </c>
      <c r="I47" s="412">
        <f t="shared" si="20"/>
        <v>0</v>
      </c>
      <c r="J47" s="412">
        <f t="shared" si="20"/>
        <v>0</v>
      </c>
      <c r="K47" s="412">
        <f t="shared" si="20"/>
        <v>0</v>
      </c>
      <c r="L47" s="412">
        <f t="shared" si="20"/>
        <v>0</v>
      </c>
      <c r="M47" s="411">
        <f>SUM(M41:M46)</f>
        <v>0</v>
      </c>
      <c r="X47" s="1"/>
      <c r="AA47" s="419"/>
      <c r="AB47" s="419"/>
      <c r="AC47" s="419"/>
      <c r="AD47" s="419"/>
      <c r="AE47" s="419"/>
      <c r="AF47" s="419"/>
      <c r="AK47" s="444"/>
      <c r="AL47" s="444"/>
    </row>
    <row r="48" spans="1:38" ht="18" customHeight="1" x14ac:dyDescent="0.2">
      <c r="A48" s="1"/>
      <c r="Q48" s="1"/>
      <c r="R48" s="1"/>
      <c r="S48" s="1"/>
      <c r="T48" s="1"/>
      <c r="U48" s="1"/>
      <c r="V48" s="1"/>
      <c r="W48" s="1"/>
      <c r="X48" s="1"/>
      <c r="AA48" s="419"/>
      <c r="AB48" s="419"/>
      <c r="AC48" s="419"/>
      <c r="AD48" s="419"/>
      <c r="AE48" s="419"/>
      <c r="AF48" s="419"/>
      <c r="AK48" s="444"/>
      <c r="AL48" s="444"/>
    </row>
    <row r="49" spans="1:38" ht="18" customHeight="1" x14ac:dyDescent="0.2">
      <c r="A49" s="1"/>
      <c r="Q49" s="1"/>
      <c r="R49" s="1"/>
      <c r="S49" s="1"/>
      <c r="T49" s="1"/>
      <c r="U49" s="1"/>
      <c r="V49" s="1"/>
      <c r="W49" s="1"/>
      <c r="X49" s="1"/>
      <c r="AA49" s="419"/>
      <c r="AB49" s="419"/>
      <c r="AC49" s="419"/>
      <c r="AD49" s="419"/>
      <c r="AE49" s="419"/>
      <c r="AF49" s="419"/>
      <c r="AK49" s="444"/>
      <c r="AL49" s="444"/>
    </row>
    <row r="50" spans="1:38" ht="18" customHeight="1" x14ac:dyDescent="0.2">
      <c r="A50" s="1"/>
      <c r="Q50" s="1"/>
      <c r="R50" s="1"/>
      <c r="S50" s="1"/>
      <c r="T50" s="1"/>
      <c r="U50" s="1"/>
      <c r="V50" s="1"/>
      <c r="W50" s="1"/>
      <c r="X50" s="1"/>
      <c r="AA50" s="419"/>
      <c r="AB50" s="419"/>
      <c r="AC50" s="419"/>
      <c r="AD50" s="419"/>
      <c r="AE50" s="419"/>
      <c r="AF50" s="419"/>
      <c r="AK50" s="444"/>
      <c r="AL50" s="444"/>
    </row>
    <row r="51" spans="1:38" ht="18" customHeight="1" x14ac:dyDescent="0.25">
      <c r="A51" s="1"/>
      <c r="B51" s="5" t="s">
        <v>401</v>
      </c>
      <c r="C51"/>
      <c r="D51"/>
      <c r="E51"/>
      <c r="F51"/>
      <c r="G51"/>
      <c r="H51"/>
      <c r="I51"/>
      <c r="J51"/>
      <c r="K51"/>
      <c r="L51"/>
      <c r="M51"/>
      <c r="N51"/>
      <c r="O51"/>
      <c r="P51"/>
      <c r="Q51" s="1"/>
      <c r="R51" s="1"/>
      <c r="S51" s="1"/>
      <c r="T51" s="1"/>
      <c r="U51" s="1"/>
      <c r="V51" s="1"/>
      <c r="W51" s="1"/>
      <c r="X51" s="1"/>
      <c r="AA51" s="419"/>
      <c r="AB51" s="419"/>
      <c r="AC51" s="419"/>
      <c r="AD51" s="419"/>
      <c r="AE51" s="419"/>
      <c r="AF51" s="419"/>
      <c r="AK51" s="444"/>
      <c r="AL51" s="444"/>
    </row>
    <row r="52" spans="1:38" ht="18" customHeight="1" x14ac:dyDescent="0.25">
      <c r="A52" s="1"/>
      <c r="B52" s="5"/>
      <c r="C52" s="1"/>
      <c r="D52" s="1"/>
      <c r="E52" s="1"/>
      <c r="F52" s="1"/>
      <c r="G52" s="1"/>
      <c r="H52" s="1"/>
      <c r="I52" s="1"/>
      <c r="J52" s="1"/>
      <c r="K52" s="1"/>
      <c r="L52" s="1"/>
      <c r="M52" s="1"/>
      <c r="N52" s="1"/>
      <c r="O52" s="1"/>
      <c r="P52" s="1"/>
      <c r="Q52" s="1"/>
      <c r="R52" s="1"/>
      <c r="S52" s="1"/>
      <c r="T52" s="1"/>
      <c r="U52" s="1"/>
      <c r="V52" s="1"/>
      <c r="W52" s="1"/>
      <c r="X52" s="1"/>
      <c r="AA52" s="419"/>
      <c r="AB52" s="419"/>
      <c r="AC52" s="419"/>
      <c r="AD52" s="419"/>
      <c r="AE52" s="419"/>
      <c r="AF52" s="419"/>
      <c r="AK52" s="444"/>
      <c r="AL52" s="444"/>
    </row>
    <row r="53" spans="1:38" ht="30" x14ac:dyDescent="0.2">
      <c r="A53" s="1"/>
      <c r="B53" s="1"/>
      <c r="C53" s="407" t="s">
        <v>704</v>
      </c>
      <c r="D53" s="407" t="s">
        <v>824</v>
      </c>
      <c r="E53" s="407" t="s">
        <v>705</v>
      </c>
      <c r="F53" s="407" t="s">
        <v>378</v>
      </c>
      <c r="G53" s="407" t="s">
        <v>379</v>
      </c>
      <c r="H53" s="407" t="s">
        <v>706</v>
      </c>
      <c r="I53" s="407" t="s">
        <v>380</v>
      </c>
      <c r="J53" s="407" t="s">
        <v>850</v>
      </c>
      <c r="K53" s="407" t="s">
        <v>707</v>
      </c>
      <c r="L53" s="407" t="s">
        <v>708</v>
      </c>
      <c r="M53" s="407" t="s">
        <v>855</v>
      </c>
      <c r="N53" s="407" t="s">
        <v>851</v>
      </c>
      <c r="O53" s="407" t="s">
        <v>856</v>
      </c>
      <c r="Q53" s="1"/>
      <c r="R53" s="1"/>
      <c r="S53" s="1"/>
      <c r="T53" s="1"/>
      <c r="U53" s="1"/>
      <c r="V53" s="1"/>
      <c r="W53" s="1"/>
      <c r="X53" s="1"/>
      <c r="AA53" s="419"/>
      <c r="AB53" s="419"/>
      <c r="AC53" s="419"/>
      <c r="AD53" s="419"/>
      <c r="AE53" s="419"/>
      <c r="AF53" s="419"/>
      <c r="AK53" s="444"/>
      <c r="AL53" s="444"/>
    </row>
    <row r="54" spans="1:38" ht="18" customHeight="1" x14ac:dyDescent="0.2">
      <c r="A54" s="1"/>
      <c r="B54" s="1" t="s">
        <v>698</v>
      </c>
      <c r="C54" s="431"/>
      <c r="D54" s="409">
        <f t="shared" ref="D54:D59" si="21">C54-C16</f>
        <v>0</v>
      </c>
      <c r="E54" s="429"/>
      <c r="F54" s="409">
        <f t="shared" ref="F54:F59" si="22">E54-F16</f>
        <v>0</v>
      </c>
      <c r="G54" s="413">
        <f t="shared" ref="G54:G59" si="23">IF(F54&lt;=0,0,F54/D54)</f>
        <v>0</v>
      </c>
      <c r="H54" s="441"/>
      <c r="I54" s="421">
        <f t="shared" ref="I54:I59" si="24">IF(H54&lt;=0,0,(H54-D16)/D16)</f>
        <v>0</v>
      </c>
      <c r="J54" s="442"/>
      <c r="K54" s="550">
        <f t="shared" ref="K54:K59" si="25">J54*E54</f>
        <v>0</v>
      </c>
      <c r="L54" s="411">
        <f t="shared" ref="L54:L59" si="26">K54*H54</f>
        <v>0</v>
      </c>
      <c r="M54" s="409">
        <f t="shared" ref="M54:M59" si="27">E54*H54</f>
        <v>0</v>
      </c>
      <c r="N54" s="415">
        <v>0.52</v>
      </c>
      <c r="O54" s="409">
        <f t="shared" ref="O54:O59" si="28">N54*M54</f>
        <v>0</v>
      </c>
      <c r="Q54" s="1"/>
      <c r="R54" s="1"/>
      <c r="S54" s="1"/>
      <c r="T54" s="1"/>
      <c r="U54" s="1"/>
      <c r="V54" s="1"/>
      <c r="W54" s="1"/>
      <c r="X54" s="1"/>
      <c r="AA54" s="419"/>
      <c r="AB54" s="419"/>
      <c r="AC54" s="419"/>
      <c r="AD54" s="419"/>
      <c r="AE54" s="419"/>
      <c r="AF54" s="419"/>
      <c r="AK54" s="444"/>
      <c r="AL54" s="444"/>
    </row>
    <row r="55" spans="1:38" ht="18" customHeight="1" x14ac:dyDescent="0.2">
      <c r="A55" s="1"/>
      <c r="B55" s="1" t="s">
        <v>699</v>
      </c>
      <c r="C55" s="431"/>
      <c r="D55" s="409">
        <f t="shared" si="21"/>
        <v>0</v>
      </c>
      <c r="E55" s="429"/>
      <c r="F55" s="409">
        <f t="shared" si="22"/>
        <v>0</v>
      </c>
      <c r="G55" s="413">
        <f t="shared" si="23"/>
        <v>0</v>
      </c>
      <c r="H55" s="435"/>
      <c r="I55" s="421">
        <f t="shared" si="24"/>
        <v>0</v>
      </c>
      <c r="J55" s="442"/>
      <c r="K55" s="550">
        <f t="shared" si="25"/>
        <v>0</v>
      </c>
      <c r="L55" s="411">
        <f t="shared" si="26"/>
        <v>0</v>
      </c>
      <c r="M55" s="409">
        <f t="shared" si="27"/>
        <v>0</v>
      </c>
      <c r="N55" s="415">
        <v>0.52</v>
      </c>
      <c r="O55" s="409">
        <f t="shared" si="28"/>
        <v>0</v>
      </c>
      <c r="Q55" s="1"/>
      <c r="R55" s="1"/>
      <c r="S55" s="1"/>
      <c r="T55" s="1"/>
      <c r="U55" s="1"/>
      <c r="V55" s="1"/>
      <c r="W55" s="1"/>
      <c r="X55" s="1"/>
      <c r="AA55" s="419"/>
      <c r="AB55" s="419"/>
      <c r="AC55" s="419"/>
      <c r="AD55" s="419"/>
      <c r="AE55" s="419"/>
      <c r="AF55" s="419"/>
      <c r="AK55" s="444"/>
      <c r="AL55" s="444"/>
    </row>
    <row r="56" spans="1:38" x14ac:dyDescent="0.2">
      <c r="A56" s="1"/>
      <c r="B56" s="1" t="s">
        <v>700</v>
      </c>
      <c r="C56" s="431"/>
      <c r="D56" s="409">
        <f t="shared" si="21"/>
        <v>0</v>
      </c>
      <c r="E56" s="429"/>
      <c r="F56" s="409">
        <f t="shared" si="22"/>
        <v>0</v>
      </c>
      <c r="G56" s="413">
        <f t="shared" si="23"/>
        <v>0</v>
      </c>
      <c r="H56" s="435"/>
      <c r="I56" s="421">
        <f t="shared" si="24"/>
        <v>0</v>
      </c>
      <c r="J56" s="442"/>
      <c r="K56" s="550">
        <f t="shared" si="25"/>
        <v>0</v>
      </c>
      <c r="L56" s="411">
        <f t="shared" si="26"/>
        <v>0</v>
      </c>
      <c r="M56" s="409">
        <f t="shared" si="27"/>
        <v>0</v>
      </c>
      <c r="N56" s="415">
        <v>0.52</v>
      </c>
      <c r="O56" s="409">
        <f t="shared" si="28"/>
        <v>0</v>
      </c>
      <c r="Q56" s="1"/>
      <c r="R56" s="1"/>
      <c r="S56" s="1"/>
      <c r="T56" s="1"/>
      <c r="U56" s="1"/>
      <c r="V56" s="1"/>
      <c r="W56" s="1"/>
      <c r="X56" s="1"/>
      <c r="AA56" s="419"/>
      <c r="AB56" s="419"/>
      <c r="AC56" s="419"/>
      <c r="AD56" s="419"/>
      <c r="AE56" s="419"/>
      <c r="AF56" s="419"/>
      <c r="AK56" s="444"/>
      <c r="AL56" s="444"/>
    </row>
    <row r="57" spans="1:38" ht="18" customHeight="1" x14ac:dyDescent="0.2">
      <c r="A57" s="1"/>
      <c r="B57" s="1" t="s">
        <v>701</v>
      </c>
      <c r="C57" s="431"/>
      <c r="D57" s="409">
        <f t="shared" si="21"/>
        <v>0</v>
      </c>
      <c r="E57" s="435"/>
      <c r="F57" s="409">
        <f t="shared" si="22"/>
        <v>0</v>
      </c>
      <c r="G57" s="413">
        <f t="shared" si="23"/>
        <v>0</v>
      </c>
      <c r="H57" s="435"/>
      <c r="I57" s="421">
        <f t="shared" si="24"/>
        <v>0</v>
      </c>
      <c r="J57" s="442"/>
      <c r="K57" s="550">
        <f t="shared" si="25"/>
        <v>0</v>
      </c>
      <c r="L57" s="411">
        <f t="shared" si="26"/>
        <v>0</v>
      </c>
      <c r="M57" s="409">
        <f t="shared" si="27"/>
        <v>0</v>
      </c>
      <c r="N57" s="415">
        <v>0.52</v>
      </c>
      <c r="O57" s="409">
        <f t="shared" si="28"/>
        <v>0</v>
      </c>
      <c r="Q57" s="1"/>
      <c r="R57" s="1"/>
      <c r="S57" s="1"/>
      <c r="T57" s="1"/>
      <c r="U57" s="1"/>
      <c r="V57" s="1"/>
      <c r="W57" s="1"/>
      <c r="X57" s="1"/>
      <c r="AA57" s="419"/>
      <c r="AB57" s="419"/>
      <c r="AC57" s="419"/>
      <c r="AD57" s="419"/>
      <c r="AE57" s="419"/>
      <c r="AF57" s="419"/>
      <c r="AK57" s="444"/>
      <c r="AL57" s="444"/>
    </row>
    <row r="58" spans="1:38" ht="18" customHeight="1" x14ac:dyDescent="0.2">
      <c r="A58" s="1"/>
      <c r="B58" s="1" t="s">
        <v>702</v>
      </c>
      <c r="C58" s="431"/>
      <c r="D58" s="409">
        <f t="shared" si="21"/>
        <v>0</v>
      </c>
      <c r="E58" s="435"/>
      <c r="F58" s="409">
        <f t="shared" si="22"/>
        <v>0</v>
      </c>
      <c r="G58" s="413">
        <f t="shared" si="23"/>
        <v>0</v>
      </c>
      <c r="H58" s="435"/>
      <c r="I58" s="421">
        <f t="shared" si="24"/>
        <v>0</v>
      </c>
      <c r="J58" s="442"/>
      <c r="K58" s="550">
        <f t="shared" si="25"/>
        <v>0</v>
      </c>
      <c r="L58" s="411">
        <f t="shared" si="26"/>
        <v>0</v>
      </c>
      <c r="M58" s="409">
        <f t="shared" si="27"/>
        <v>0</v>
      </c>
      <c r="N58" s="415">
        <v>0.52</v>
      </c>
      <c r="O58" s="409">
        <f t="shared" si="28"/>
        <v>0</v>
      </c>
      <c r="Q58" s="1"/>
      <c r="R58" s="1"/>
      <c r="S58" s="1"/>
      <c r="T58" s="1"/>
      <c r="U58" s="1"/>
      <c r="V58" s="1"/>
      <c r="W58" s="1"/>
      <c r="X58" s="1"/>
      <c r="AA58" s="419"/>
      <c r="AB58" s="419"/>
      <c r="AC58" s="419"/>
      <c r="AD58" s="419"/>
      <c r="AE58" s="419"/>
      <c r="AF58" s="419"/>
      <c r="AK58" s="444"/>
      <c r="AL58" s="444"/>
    </row>
    <row r="59" spans="1:38" ht="18" customHeight="1" x14ac:dyDescent="0.2">
      <c r="A59" s="1"/>
      <c r="B59" s="1" t="s">
        <v>703</v>
      </c>
      <c r="C59" s="431"/>
      <c r="D59" s="409">
        <f t="shared" si="21"/>
        <v>0</v>
      </c>
      <c r="E59" s="435"/>
      <c r="F59" s="409">
        <f t="shared" si="22"/>
        <v>0</v>
      </c>
      <c r="G59" s="413">
        <f t="shared" si="23"/>
        <v>0</v>
      </c>
      <c r="H59" s="435"/>
      <c r="I59" s="421">
        <f t="shared" si="24"/>
        <v>0</v>
      </c>
      <c r="J59" s="442"/>
      <c r="K59" s="550">
        <f t="shared" si="25"/>
        <v>0</v>
      </c>
      <c r="L59" s="411">
        <f t="shared" si="26"/>
        <v>0</v>
      </c>
      <c r="M59" s="409">
        <f t="shared" si="27"/>
        <v>0</v>
      </c>
      <c r="N59" s="415">
        <v>0.52</v>
      </c>
      <c r="O59" s="409">
        <f t="shared" si="28"/>
        <v>0</v>
      </c>
      <c r="Q59" s="1"/>
      <c r="R59" s="1"/>
      <c r="S59" s="1"/>
      <c r="T59" s="1"/>
      <c r="U59" s="1"/>
      <c r="V59" s="1"/>
      <c r="W59" s="1"/>
      <c r="X59" s="1"/>
      <c r="AA59" s="419"/>
      <c r="AB59" s="419"/>
      <c r="AC59" s="419"/>
      <c r="AD59" s="419"/>
      <c r="AE59" s="419"/>
      <c r="AF59" s="419"/>
      <c r="AK59" s="444"/>
      <c r="AL59" s="444"/>
    </row>
    <row r="60" spans="1:38" ht="18" customHeight="1" thickBot="1" x14ac:dyDescent="0.25">
      <c r="A60" s="1"/>
      <c r="B60" s="1"/>
      <c r="C60" s="1"/>
      <c r="D60" s="1"/>
      <c r="E60" s="439">
        <f>SUMPRODUCT(E54:E59,H54:H59)</f>
        <v>0</v>
      </c>
      <c r="F60" s="1"/>
      <c r="G60" s="1"/>
      <c r="I60" s="1"/>
      <c r="J60" s="1"/>
      <c r="K60" s="1" t="s">
        <v>993</v>
      </c>
      <c r="L60" s="440">
        <f>SUM(L54:L59)</f>
        <v>0</v>
      </c>
      <c r="M60" s="439">
        <f>SUM(M54:M59)</f>
        <v>0</v>
      </c>
      <c r="O60" s="439">
        <f>SUM(O54:O59)</f>
        <v>0</v>
      </c>
      <c r="Q60" s="1"/>
      <c r="R60" s="1"/>
      <c r="S60" s="1"/>
      <c r="T60" s="1"/>
      <c r="U60" s="1"/>
      <c r="V60" s="1"/>
      <c r="W60" s="1"/>
      <c r="X60" s="1"/>
      <c r="AA60" s="419"/>
      <c r="AB60" s="419"/>
      <c r="AC60" s="419"/>
      <c r="AD60" s="419"/>
      <c r="AE60" s="419"/>
      <c r="AF60" s="419"/>
      <c r="AK60" s="444"/>
      <c r="AL60" s="444"/>
    </row>
    <row r="61" spans="1:38" ht="18" customHeight="1" thickTop="1" x14ac:dyDescent="0.2">
      <c r="A61" s="1"/>
      <c r="B61" s="1"/>
      <c r="C61" s="1"/>
      <c r="D61" s="1"/>
      <c r="E61" s="1"/>
      <c r="F61" s="1"/>
      <c r="G61" s="1"/>
      <c r="H61" s="1"/>
      <c r="I61" s="1"/>
      <c r="J61" s="1"/>
      <c r="K61" s="1"/>
      <c r="L61" s="12" t="s">
        <v>562</v>
      </c>
      <c r="M61" s="481">
        <f>F22</f>
        <v>0</v>
      </c>
      <c r="N61" s="1"/>
      <c r="O61" s="481" t="e">
        <f>M61*O60/M60</f>
        <v>#DIV/0!</v>
      </c>
      <c r="P61" s="1"/>
      <c r="Q61" s="1"/>
      <c r="R61" s="1"/>
      <c r="S61" s="1"/>
      <c r="T61" s="1"/>
      <c r="U61" s="1"/>
      <c r="V61" s="1"/>
      <c r="W61" s="1"/>
      <c r="X61" s="1"/>
      <c r="AA61" s="419"/>
      <c r="AB61" s="419"/>
      <c r="AC61" s="419"/>
      <c r="AD61" s="419"/>
      <c r="AE61" s="419"/>
      <c r="AF61" s="419"/>
      <c r="AK61" s="444"/>
      <c r="AL61" s="444"/>
    </row>
    <row r="62" spans="1:38" ht="18" customHeight="1" x14ac:dyDescent="0.25">
      <c r="A62" s="1"/>
      <c r="L62" s="547" t="s">
        <v>381</v>
      </c>
      <c r="M62" s="556">
        <f>M60-M61</f>
        <v>0</v>
      </c>
      <c r="N62" s="1" t="s">
        <v>382</v>
      </c>
      <c r="O62" s="556" t="e">
        <f>O60-O61</f>
        <v>#DIV/0!</v>
      </c>
      <c r="P62" s="1" t="s">
        <v>383</v>
      </c>
      <c r="Q62" s="1"/>
      <c r="R62" s="1"/>
      <c r="S62" s="1"/>
      <c r="T62" s="1"/>
      <c r="U62" s="1"/>
      <c r="V62" s="1"/>
      <c r="W62" s="1"/>
      <c r="X62" s="1"/>
      <c r="AA62" s="419"/>
      <c r="AB62" s="419"/>
      <c r="AC62" s="419"/>
      <c r="AD62" s="419"/>
      <c r="AE62" s="419"/>
      <c r="AF62" s="419"/>
      <c r="AK62" s="444"/>
      <c r="AL62" s="444"/>
    </row>
    <row r="63" spans="1:38" ht="18" customHeight="1" x14ac:dyDescent="0.25">
      <c r="A63" s="1"/>
      <c r="B63" s="446"/>
      <c r="L63" s="245"/>
      <c r="M63"/>
      <c r="N63"/>
      <c r="O63"/>
      <c r="P63" s="1"/>
      <c r="Q63" s="1"/>
      <c r="R63" s="1"/>
      <c r="S63" s="1"/>
      <c r="T63" s="1"/>
      <c r="U63" s="1"/>
      <c r="V63" s="1"/>
      <c r="W63" s="1"/>
      <c r="X63" s="1"/>
      <c r="AA63" s="419"/>
      <c r="AB63" s="419"/>
      <c r="AC63" s="419"/>
      <c r="AD63" s="419"/>
      <c r="AE63" s="419"/>
      <c r="AF63" s="419"/>
      <c r="AK63" s="444"/>
      <c r="AL63" s="444"/>
    </row>
    <row r="64" spans="1:38" ht="18" customHeight="1" x14ac:dyDescent="0.25">
      <c r="A64" s="1"/>
      <c r="B64" s="446"/>
      <c r="L64" s="245"/>
      <c r="M64"/>
      <c r="N64"/>
      <c r="O64"/>
      <c r="P64" s="1"/>
      <c r="Q64" s="1"/>
      <c r="R64" s="1"/>
      <c r="S64" s="1"/>
      <c r="T64" s="1"/>
      <c r="U64" s="1"/>
      <c r="V64" s="1"/>
      <c r="W64" s="1"/>
      <c r="X64" s="1"/>
      <c r="AA64" s="419"/>
      <c r="AB64" s="419"/>
      <c r="AC64" s="419"/>
      <c r="AD64" s="419"/>
      <c r="AE64" s="419"/>
      <c r="AF64" s="419"/>
      <c r="AK64" s="444"/>
      <c r="AL64" s="444"/>
    </row>
    <row r="65" spans="1:38" ht="18" customHeight="1" x14ac:dyDescent="0.25">
      <c r="A65" s="1"/>
      <c r="B65" s="446"/>
      <c r="L65" s="245"/>
      <c r="M65"/>
      <c r="N65"/>
      <c r="O65"/>
      <c r="P65" s="1"/>
      <c r="Q65" s="1"/>
      <c r="R65" s="1"/>
      <c r="S65" s="1"/>
      <c r="T65" s="1"/>
      <c r="U65" s="1"/>
      <c r="V65" s="1"/>
      <c r="W65" s="1"/>
      <c r="X65" s="1"/>
      <c r="AA65" s="419"/>
      <c r="AB65" s="419"/>
      <c r="AC65" s="419"/>
      <c r="AD65" s="419"/>
      <c r="AE65" s="419"/>
      <c r="AF65" s="419"/>
      <c r="AK65" s="444"/>
      <c r="AL65" s="444"/>
    </row>
    <row r="66" spans="1:38" ht="18" customHeight="1" x14ac:dyDescent="0.25">
      <c r="A66" s="1"/>
      <c r="B66" s="446" t="s">
        <v>561</v>
      </c>
      <c r="L66" s="245"/>
      <c r="M66"/>
      <c r="N66"/>
      <c r="O66"/>
      <c r="P66" s="1"/>
      <c r="Q66" s="1"/>
      <c r="R66" s="1"/>
      <c r="S66" s="1"/>
      <c r="T66" s="1"/>
      <c r="U66" s="1"/>
      <c r="V66" s="1"/>
      <c r="W66" s="1"/>
      <c r="X66" s="1"/>
      <c r="AA66" s="419"/>
      <c r="AB66" s="419"/>
      <c r="AC66" s="419"/>
      <c r="AD66" s="419"/>
      <c r="AE66" s="419"/>
      <c r="AF66" s="419"/>
      <c r="AK66" s="444"/>
      <c r="AL66" s="444"/>
    </row>
    <row r="67" spans="1:38" ht="18" customHeight="1" x14ac:dyDescent="0.2">
      <c r="A67" s="1"/>
      <c r="M67" s="1"/>
      <c r="N67" s="1"/>
      <c r="O67" s="1"/>
      <c r="P67" s="1"/>
      <c r="Q67" s="1"/>
      <c r="R67" s="1"/>
      <c r="S67" s="1"/>
      <c r="T67" s="1"/>
      <c r="U67" s="1"/>
      <c r="V67" s="1"/>
      <c r="W67" s="1"/>
      <c r="X67" s="1"/>
      <c r="AA67" s="419"/>
      <c r="AB67" s="419"/>
      <c r="AC67" s="419"/>
      <c r="AD67" s="419"/>
      <c r="AE67" s="419"/>
      <c r="AF67" s="419"/>
      <c r="AK67" s="444"/>
      <c r="AL67" s="444"/>
    </row>
    <row r="68" spans="1:38" ht="33" customHeight="1" x14ac:dyDescent="0.2">
      <c r="A68" s="1"/>
      <c r="C68" s="407" t="s">
        <v>709</v>
      </c>
      <c r="D68" s="407" t="s">
        <v>710</v>
      </c>
      <c r="E68" s="407" t="s">
        <v>711</v>
      </c>
      <c r="F68" s="407" t="s">
        <v>712</v>
      </c>
      <c r="G68" s="407" t="s">
        <v>713</v>
      </c>
      <c r="H68" s="407" t="s">
        <v>714</v>
      </c>
      <c r="I68" s="407" t="s">
        <v>715</v>
      </c>
      <c r="J68" s="407" t="s">
        <v>716</v>
      </c>
      <c r="K68" s="407" t="s">
        <v>717</v>
      </c>
      <c r="L68" s="407" t="s">
        <v>718</v>
      </c>
      <c r="M68" s="407" t="s">
        <v>719</v>
      </c>
      <c r="O68" s="1"/>
      <c r="P68" s="1"/>
      <c r="Q68" s="1"/>
      <c r="R68" s="1"/>
      <c r="S68" s="1"/>
      <c r="T68" s="1"/>
      <c r="U68" s="1"/>
      <c r="V68" s="1"/>
      <c r="W68" s="1"/>
      <c r="X68" s="1"/>
      <c r="AA68" s="419"/>
      <c r="AB68" s="419"/>
      <c r="AC68" s="419"/>
      <c r="AD68" s="419"/>
      <c r="AE68" s="419"/>
      <c r="AF68" s="419"/>
      <c r="AK68" s="444"/>
      <c r="AL68" s="444"/>
    </row>
    <row r="69" spans="1:38" ht="18" customHeight="1" x14ac:dyDescent="0.2">
      <c r="A69" s="1"/>
      <c r="B69" s="419" t="str">
        <f t="shared" ref="B69:B74" si="29">B54</f>
        <v>Mob 1</v>
      </c>
      <c r="C69" s="448"/>
      <c r="D69" s="411">
        <f t="shared" ref="D69:D74" si="30">C69*L54</f>
        <v>0</v>
      </c>
      <c r="E69" s="449"/>
      <c r="F69" s="449"/>
      <c r="G69" s="449"/>
      <c r="H69" s="411">
        <f t="shared" ref="H69:H74" si="31">(E69*H54)+(F69*H54)+G69</f>
        <v>0</v>
      </c>
      <c r="I69" s="450"/>
      <c r="J69" s="451"/>
      <c r="K69" s="450"/>
      <c r="L69" s="411">
        <f t="shared" ref="L69:L74" si="32">IF(K69=0,0,IF(H54&lt;=0,0,H54*I69*J69/K69))</f>
        <v>0</v>
      </c>
      <c r="M69" s="433">
        <f t="shared" ref="M69:M74" si="33">IF(L69&lt;=0,0,L69/H54)</f>
        <v>0</v>
      </c>
      <c r="O69" s="1"/>
      <c r="P69" s="1"/>
      <c r="Q69" s="1"/>
      <c r="R69" s="1"/>
      <c r="S69" s="1"/>
      <c r="T69" s="1"/>
      <c r="U69" s="1"/>
      <c r="V69" s="1"/>
      <c r="W69" s="1"/>
      <c r="X69" s="1"/>
      <c r="AA69" s="419"/>
      <c r="AB69" s="419"/>
      <c r="AC69" s="419"/>
      <c r="AD69" s="419"/>
      <c r="AE69" s="419"/>
      <c r="AF69" s="419"/>
      <c r="AK69" s="444"/>
      <c r="AL69" s="444"/>
    </row>
    <row r="70" spans="1:38" ht="18" customHeight="1" x14ac:dyDescent="0.2">
      <c r="A70" s="1"/>
      <c r="B70" s="419" t="str">
        <f t="shared" si="29"/>
        <v>Mob 2</v>
      </c>
      <c r="C70" s="448"/>
      <c r="D70" s="411">
        <f t="shared" si="30"/>
        <v>0</v>
      </c>
      <c r="E70" s="449"/>
      <c r="F70" s="449"/>
      <c r="G70" s="449"/>
      <c r="H70" s="411">
        <f t="shared" si="31"/>
        <v>0</v>
      </c>
      <c r="I70" s="450"/>
      <c r="J70" s="451"/>
      <c r="K70" s="450"/>
      <c r="L70" s="411">
        <f t="shared" si="32"/>
        <v>0</v>
      </c>
      <c r="M70" s="433">
        <f t="shared" si="33"/>
        <v>0</v>
      </c>
      <c r="O70" s="1"/>
      <c r="P70" s="1"/>
      <c r="Q70" s="1"/>
      <c r="R70" s="1"/>
      <c r="S70" s="1"/>
      <c r="T70" s="1"/>
      <c r="U70" s="1"/>
      <c r="V70" s="1"/>
      <c r="W70" s="1"/>
      <c r="X70" s="1"/>
      <c r="AA70" s="419"/>
      <c r="AB70" s="419"/>
      <c r="AC70" s="419"/>
      <c r="AD70" s="419"/>
      <c r="AE70" s="419"/>
      <c r="AF70" s="419"/>
      <c r="AK70" s="444"/>
      <c r="AL70" s="444"/>
    </row>
    <row r="71" spans="1:38" ht="18" customHeight="1" x14ac:dyDescent="0.2">
      <c r="A71" s="1"/>
      <c r="B71" s="419" t="str">
        <f t="shared" si="29"/>
        <v>Mob 3</v>
      </c>
      <c r="C71" s="448"/>
      <c r="D71" s="411">
        <f t="shared" si="30"/>
        <v>0</v>
      </c>
      <c r="E71" s="449"/>
      <c r="F71" s="449"/>
      <c r="G71" s="449"/>
      <c r="H71" s="411">
        <f t="shared" si="31"/>
        <v>0</v>
      </c>
      <c r="I71" s="450"/>
      <c r="J71" s="451"/>
      <c r="K71" s="450"/>
      <c r="L71" s="411">
        <f t="shared" si="32"/>
        <v>0</v>
      </c>
      <c r="M71" s="433">
        <f t="shared" si="33"/>
        <v>0</v>
      </c>
      <c r="O71" s="1"/>
      <c r="P71" s="1"/>
      <c r="Q71" s="1"/>
      <c r="R71" s="1"/>
      <c r="S71" s="1"/>
      <c r="T71" s="1"/>
      <c r="U71" s="1"/>
      <c r="V71" s="1"/>
      <c r="W71" s="1"/>
      <c r="X71" s="1"/>
      <c r="AI71" s="444"/>
      <c r="AJ71" s="444"/>
      <c r="AK71" s="444"/>
      <c r="AL71" s="444"/>
    </row>
    <row r="72" spans="1:38" ht="18" customHeight="1" x14ac:dyDescent="0.2">
      <c r="A72" s="1"/>
      <c r="B72" s="419" t="str">
        <f t="shared" si="29"/>
        <v>Mob 4</v>
      </c>
      <c r="C72" s="448"/>
      <c r="D72" s="411">
        <f t="shared" si="30"/>
        <v>0</v>
      </c>
      <c r="E72" s="449"/>
      <c r="F72" s="449"/>
      <c r="G72" s="449"/>
      <c r="H72" s="411">
        <f t="shared" si="31"/>
        <v>0</v>
      </c>
      <c r="I72" s="450"/>
      <c r="J72" s="451"/>
      <c r="K72" s="450"/>
      <c r="L72" s="411">
        <f t="shared" si="32"/>
        <v>0</v>
      </c>
      <c r="M72" s="433">
        <f t="shared" si="33"/>
        <v>0</v>
      </c>
      <c r="O72" s="1"/>
      <c r="P72" s="1"/>
      <c r="Q72" s="1"/>
      <c r="R72" s="1"/>
      <c r="S72" s="1"/>
      <c r="T72" s="1"/>
      <c r="U72" s="1"/>
      <c r="V72" s="1"/>
      <c r="W72" s="1"/>
      <c r="X72" s="1"/>
      <c r="AI72" s="444"/>
      <c r="AJ72" s="444"/>
      <c r="AK72" s="444"/>
      <c r="AL72" s="444"/>
    </row>
    <row r="73" spans="1:38" ht="18" customHeight="1" x14ac:dyDescent="0.2">
      <c r="A73" s="1"/>
      <c r="B73" s="419" t="str">
        <f t="shared" si="29"/>
        <v>Mob 5</v>
      </c>
      <c r="C73" s="448"/>
      <c r="D73" s="411">
        <f t="shared" si="30"/>
        <v>0</v>
      </c>
      <c r="E73" s="449"/>
      <c r="F73" s="449"/>
      <c r="G73" s="449"/>
      <c r="H73" s="411">
        <f t="shared" si="31"/>
        <v>0</v>
      </c>
      <c r="I73" s="450"/>
      <c r="J73" s="451"/>
      <c r="K73" s="450"/>
      <c r="L73" s="411">
        <f t="shared" si="32"/>
        <v>0</v>
      </c>
      <c r="M73" s="433">
        <f t="shared" si="33"/>
        <v>0</v>
      </c>
      <c r="O73" s="1"/>
      <c r="P73" s="1"/>
      <c r="Q73" s="1"/>
      <c r="R73" s="1"/>
      <c r="S73" s="1"/>
      <c r="T73" s="1"/>
      <c r="U73" s="1"/>
      <c r="V73" s="1"/>
      <c r="W73" s="1"/>
      <c r="X73" s="1"/>
      <c r="Y73"/>
      <c r="Z73"/>
      <c r="AA73"/>
      <c r="AB73"/>
      <c r="AC73"/>
      <c r="AD73"/>
      <c r="AE73"/>
      <c r="AF73"/>
      <c r="AI73" s="444"/>
      <c r="AJ73" s="444"/>
      <c r="AK73" s="444"/>
      <c r="AL73" s="444"/>
    </row>
    <row r="74" spans="1:38" ht="18" customHeight="1" x14ac:dyDescent="0.2">
      <c r="A74" s="1"/>
      <c r="B74" s="419" t="str">
        <f t="shared" si="29"/>
        <v>Mob 6</v>
      </c>
      <c r="C74" s="448"/>
      <c r="D74" s="411">
        <f t="shared" si="30"/>
        <v>0</v>
      </c>
      <c r="E74" s="449"/>
      <c r="F74" s="449"/>
      <c r="G74" s="449"/>
      <c r="H74" s="411">
        <f t="shared" si="31"/>
        <v>0</v>
      </c>
      <c r="I74" s="450"/>
      <c r="J74" s="451"/>
      <c r="K74" s="450"/>
      <c r="L74" s="411">
        <f t="shared" si="32"/>
        <v>0</v>
      </c>
      <c r="M74" s="433">
        <f t="shared" si="33"/>
        <v>0</v>
      </c>
      <c r="O74" s="1"/>
      <c r="P74" s="1"/>
      <c r="Q74" s="1"/>
      <c r="R74" s="1"/>
      <c r="S74" s="1"/>
      <c r="T74" s="1"/>
      <c r="U74" s="1"/>
      <c r="V74" s="1"/>
      <c r="W74" s="1"/>
      <c r="X74" s="1"/>
      <c r="Y74"/>
      <c r="Z74"/>
      <c r="AA74"/>
      <c r="AB74"/>
      <c r="AC74"/>
      <c r="AD74"/>
      <c r="AE74"/>
      <c r="AF74"/>
      <c r="AI74" s="444"/>
      <c r="AJ74" s="444"/>
      <c r="AK74" s="444"/>
      <c r="AL74" s="444"/>
    </row>
    <row r="75" spans="1:38" ht="18" customHeight="1" thickBot="1" x14ac:dyDescent="0.25">
      <c r="A75" s="1"/>
      <c r="C75" s="1"/>
      <c r="D75" s="440">
        <f>SUM(D69:D74)</f>
        <v>0</v>
      </c>
      <c r="E75" s="1"/>
      <c r="F75" s="1"/>
      <c r="G75" s="1"/>
      <c r="H75" s="440">
        <f>SUM(H69:H74)</f>
        <v>0</v>
      </c>
      <c r="I75" s="1"/>
      <c r="J75" s="1"/>
      <c r="K75" s="1"/>
      <c r="L75" s="440">
        <f>SUM(L69:L74)</f>
        <v>0</v>
      </c>
      <c r="M75" s="1"/>
      <c r="O75" s="1"/>
      <c r="P75" s="1"/>
      <c r="Q75" s="1"/>
      <c r="R75" s="1"/>
      <c r="S75" s="1"/>
      <c r="T75" s="1"/>
      <c r="U75" s="1"/>
      <c r="V75" s="1"/>
      <c r="W75" s="1"/>
      <c r="X75" s="1"/>
      <c r="Y75"/>
      <c r="Z75"/>
      <c r="AA75"/>
      <c r="AB75"/>
      <c r="AC75"/>
      <c r="AD75"/>
      <c r="AE75"/>
      <c r="AF75"/>
      <c r="AI75" s="444"/>
      <c r="AJ75" s="444"/>
      <c r="AK75" s="444"/>
      <c r="AL75" s="444"/>
    </row>
    <row r="76" spans="1:38" ht="18" customHeight="1" thickTop="1" x14ac:dyDescent="0.2">
      <c r="A76" s="1"/>
      <c r="B76" s="1"/>
      <c r="C76" s="1"/>
      <c r="D76" s="1"/>
      <c r="E76" s="1"/>
      <c r="F76" s="1"/>
      <c r="G76" s="1"/>
      <c r="H76" s="1"/>
      <c r="I76" s="1"/>
      <c r="J76" s="1"/>
      <c r="K76" s="1"/>
      <c r="L76" s="1"/>
      <c r="M76" s="1"/>
      <c r="N76" s="1"/>
      <c r="O76" s="1"/>
      <c r="P76" s="1"/>
      <c r="Q76" s="1"/>
      <c r="R76" s="1"/>
      <c r="S76" s="1"/>
      <c r="T76" s="1"/>
      <c r="U76" s="1"/>
      <c r="V76" s="1"/>
      <c r="W76" s="1"/>
      <c r="X76" s="1"/>
      <c r="Y76"/>
      <c r="Z76"/>
      <c r="AA76"/>
      <c r="AB76"/>
      <c r="AC76"/>
      <c r="AD76"/>
      <c r="AE76"/>
      <c r="AF76"/>
      <c r="AI76" s="444"/>
      <c r="AJ76" s="444"/>
      <c r="AK76" s="444"/>
      <c r="AL76" s="444"/>
    </row>
    <row r="77" spans="1:38" ht="18" customHeight="1" x14ac:dyDescent="0.2">
      <c r="A77" s="1"/>
      <c r="L77" s="1"/>
      <c r="M77" s="1"/>
      <c r="N77" s="1"/>
      <c r="O77" s="1"/>
      <c r="P77" s="1"/>
      <c r="Q77" s="1"/>
      <c r="R77" s="1"/>
      <c r="S77" s="1"/>
      <c r="T77" s="1"/>
      <c r="U77" s="1"/>
      <c r="V77" s="1"/>
      <c r="W77" s="1"/>
      <c r="X77" s="1"/>
      <c r="Y77"/>
      <c r="Z77"/>
      <c r="AA77"/>
      <c r="AB77"/>
      <c r="AC77"/>
      <c r="AD77"/>
      <c r="AE77"/>
      <c r="AF77"/>
      <c r="AI77" s="444"/>
      <c r="AJ77" s="444"/>
      <c r="AK77" s="444"/>
      <c r="AL77" s="444"/>
    </row>
    <row r="78" spans="1:38" ht="18" customHeight="1" x14ac:dyDescent="0.2">
      <c r="A78" s="1"/>
      <c r="B78" s="1"/>
      <c r="C78" s="1"/>
      <c r="D78" s="1"/>
      <c r="E78" s="1"/>
      <c r="F78" s="1"/>
      <c r="G78" s="1"/>
      <c r="H78" s="1"/>
      <c r="I78" s="1"/>
      <c r="J78" s="1"/>
      <c r="K78" s="1"/>
      <c r="L78" s="1"/>
      <c r="M78" s="1"/>
      <c r="N78" s="1"/>
      <c r="O78" s="1"/>
      <c r="P78" s="1"/>
      <c r="Q78" s="1"/>
      <c r="R78" s="1"/>
      <c r="S78" s="1"/>
      <c r="T78" s="1"/>
      <c r="U78" s="1"/>
      <c r="V78" s="1"/>
      <c r="W78" s="1"/>
      <c r="X78" s="1"/>
      <c r="AA78" s="419"/>
      <c r="AB78" s="419"/>
      <c r="AC78" s="419"/>
      <c r="AD78" s="419"/>
      <c r="AE78" s="419"/>
      <c r="AF78" s="419"/>
      <c r="AI78" s="444"/>
      <c r="AJ78" s="444"/>
      <c r="AK78" s="444"/>
      <c r="AL78" s="444"/>
    </row>
    <row r="79" spans="1:38" ht="18" customHeight="1" x14ac:dyDescent="0.25">
      <c r="A79" s="1"/>
      <c r="B79" s="5" t="s">
        <v>396</v>
      </c>
      <c r="C79" s="1"/>
      <c r="D79" s="1"/>
      <c r="E79" s="1"/>
      <c r="F79" s="1"/>
      <c r="G79" s="1"/>
      <c r="H79" s="1"/>
      <c r="I79" s="1"/>
      <c r="J79" s="1"/>
      <c r="K79" s="1"/>
      <c r="L79" s="1"/>
      <c r="M79" s="1"/>
      <c r="N79" s="1"/>
      <c r="O79" s="1"/>
      <c r="P79" s="1"/>
      <c r="Q79" s="1"/>
      <c r="R79" s="1"/>
      <c r="S79" s="1"/>
      <c r="T79" s="1"/>
      <c r="U79" s="1"/>
      <c r="V79" s="1"/>
      <c r="W79" s="1"/>
      <c r="X79" s="1"/>
      <c r="AA79" s="419"/>
      <c r="AB79" s="419"/>
      <c r="AC79" s="419"/>
      <c r="AD79" s="419"/>
      <c r="AE79" s="419"/>
      <c r="AF79" s="419"/>
      <c r="AI79" s="444"/>
      <c r="AJ79" s="444"/>
      <c r="AK79" s="444"/>
      <c r="AL79" s="444"/>
    </row>
    <row r="80" spans="1:38" x14ac:dyDescent="0.2">
      <c r="A80" s="1"/>
      <c r="B80" s="1"/>
      <c r="C80" s="1"/>
      <c r="D80" s="1"/>
      <c r="E80" s="1"/>
      <c r="F80" s="1"/>
      <c r="G80" s="1"/>
      <c r="H80" s="1"/>
      <c r="I80" s="1"/>
      <c r="J80" s="1"/>
      <c r="K80" s="1"/>
      <c r="L80" s="1"/>
      <c r="M80" s="1"/>
      <c r="N80" s="1"/>
      <c r="O80" s="1"/>
      <c r="P80" s="1"/>
      <c r="Q80" s="1"/>
      <c r="R80" s="1"/>
      <c r="S80" s="1"/>
      <c r="T80" s="1"/>
      <c r="U80" s="1"/>
      <c r="V80" s="1"/>
      <c r="W80" s="1"/>
      <c r="X80" s="1"/>
      <c r="AA80" s="419"/>
      <c r="AB80" s="419"/>
      <c r="AC80" s="419"/>
      <c r="AD80" s="419"/>
      <c r="AE80" s="419"/>
      <c r="AF80" s="419"/>
      <c r="AI80" s="444"/>
      <c r="AJ80" s="444"/>
      <c r="AK80" s="444"/>
      <c r="AL80" s="444"/>
    </row>
    <row r="81" spans="1:32" ht="33" customHeight="1" x14ac:dyDescent="0.2">
      <c r="A81" s="1"/>
      <c r="B81" s="1"/>
      <c r="C81" s="408" t="s">
        <v>892</v>
      </c>
      <c r="D81" s="408" t="s">
        <v>721</v>
      </c>
      <c r="E81" s="408" t="s">
        <v>722</v>
      </c>
      <c r="F81" s="408" t="s">
        <v>723</v>
      </c>
      <c r="G81" s="408" t="s">
        <v>724</v>
      </c>
      <c r="H81" s="408" t="s">
        <v>725</v>
      </c>
      <c r="I81" s="1"/>
      <c r="J81" s="1"/>
      <c r="K81" s="1"/>
      <c r="L81" s="1"/>
      <c r="M81" s="1"/>
      <c r="N81" s="1"/>
      <c r="O81" s="1"/>
      <c r="P81" s="1"/>
      <c r="Q81" s="1"/>
      <c r="R81" s="1"/>
      <c r="S81" s="1"/>
      <c r="T81" s="1"/>
      <c r="U81" s="1"/>
      <c r="V81" s="1"/>
      <c r="W81" s="1"/>
      <c r="X81" s="1"/>
      <c r="AA81" s="419"/>
      <c r="AB81" s="419"/>
      <c r="AC81" s="419"/>
      <c r="AD81" s="419"/>
      <c r="AE81" s="419"/>
      <c r="AF81" s="419"/>
    </row>
    <row r="82" spans="1:32" x14ac:dyDescent="0.2">
      <c r="A82" s="1"/>
      <c r="B82" s="1" t="s">
        <v>698</v>
      </c>
      <c r="C82" s="409">
        <f t="shared" ref="C82:C87" si="34">C41</f>
        <v>0</v>
      </c>
      <c r="D82" s="409">
        <f t="shared" ref="D82:D87" si="35">D54</f>
        <v>0</v>
      </c>
      <c r="E82" s="411">
        <f t="shared" ref="E82:E87" si="36">G16</f>
        <v>0</v>
      </c>
      <c r="F82" s="411">
        <f t="shared" ref="F82:F87" si="37">E82*C82</f>
        <v>0</v>
      </c>
      <c r="G82" s="452">
        <v>0.05</v>
      </c>
      <c r="H82" s="411">
        <f t="shared" ref="H82:H87" si="38">F82*G82*D82/365</f>
        <v>0</v>
      </c>
      <c r="I82" s="1"/>
      <c r="J82" s="1"/>
      <c r="K82" s="1"/>
      <c r="L82" s="1"/>
      <c r="M82" s="1"/>
      <c r="N82" s="1"/>
      <c r="O82" s="1"/>
      <c r="P82" s="1"/>
      <c r="Q82" s="1"/>
      <c r="R82" s="1"/>
      <c r="S82" s="1"/>
      <c r="T82" s="1"/>
      <c r="U82" s="1"/>
      <c r="V82" s="1"/>
      <c r="W82" s="1"/>
      <c r="X82" s="1"/>
      <c r="AA82" s="419"/>
      <c r="AB82" s="419"/>
      <c r="AC82" s="419"/>
      <c r="AD82" s="419"/>
      <c r="AE82" s="419"/>
      <c r="AF82" s="419"/>
    </row>
    <row r="83" spans="1:32" x14ac:dyDescent="0.2">
      <c r="A83" s="1"/>
      <c r="B83" s="1" t="s">
        <v>699</v>
      </c>
      <c r="C83" s="409">
        <f t="shared" si="34"/>
        <v>0</v>
      </c>
      <c r="D83" s="409">
        <f t="shared" si="35"/>
        <v>0</v>
      </c>
      <c r="E83" s="411">
        <f t="shared" si="36"/>
        <v>0</v>
      </c>
      <c r="F83" s="411">
        <f t="shared" si="37"/>
        <v>0</v>
      </c>
      <c r="G83" s="452">
        <v>0.05</v>
      </c>
      <c r="H83" s="411">
        <f t="shared" si="38"/>
        <v>0</v>
      </c>
      <c r="I83" s="1"/>
      <c r="J83" s="1"/>
      <c r="K83" s="1"/>
      <c r="L83" s="1"/>
      <c r="M83" s="1"/>
      <c r="N83" s="1"/>
      <c r="O83" s="1"/>
      <c r="P83" s="1"/>
      <c r="Q83" s="1"/>
      <c r="R83" s="1"/>
      <c r="S83" s="1"/>
      <c r="T83" s="1"/>
      <c r="U83" s="1"/>
      <c r="V83" s="1"/>
      <c r="W83" s="1"/>
      <c r="X83" s="1"/>
      <c r="AA83" s="419"/>
      <c r="AB83" s="419"/>
      <c r="AC83" s="419"/>
      <c r="AD83" s="419"/>
      <c r="AE83" s="419"/>
      <c r="AF83" s="419"/>
    </row>
    <row r="84" spans="1:32" x14ac:dyDescent="0.2">
      <c r="A84" s="1"/>
      <c r="B84" s="1" t="s">
        <v>700</v>
      </c>
      <c r="C84" s="409">
        <f t="shared" si="34"/>
        <v>0</v>
      </c>
      <c r="D84" s="409">
        <f t="shared" si="35"/>
        <v>0</v>
      </c>
      <c r="E84" s="411">
        <f t="shared" si="36"/>
        <v>0</v>
      </c>
      <c r="F84" s="411">
        <f t="shared" si="37"/>
        <v>0</v>
      </c>
      <c r="G84" s="452">
        <v>0.05</v>
      </c>
      <c r="H84" s="411">
        <f t="shared" si="38"/>
        <v>0</v>
      </c>
      <c r="I84" s="1"/>
      <c r="J84" s="1"/>
      <c r="K84" s="1"/>
      <c r="L84" s="1"/>
      <c r="M84" s="1"/>
      <c r="N84" s="1"/>
      <c r="O84" s="1"/>
      <c r="P84" s="1"/>
      <c r="Q84" s="1"/>
      <c r="R84" s="1"/>
      <c r="S84" s="1"/>
      <c r="T84" s="1"/>
      <c r="U84" s="1"/>
      <c r="V84" s="1"/>
      <c r="W84" s="1"/>
      <c r="X84" s="1"/>
      <c r="AA84" s="419"/>
      <c r="AB84" s="419"/>
      <c r="AC84" s="419"/>
      <c r="AD84" s="419"/>
      <c r="AE84" s="419"/>
      <c r="AF84" s="419"/>
    </row>
    <row r="85" spans="1:32" x14ac:dyDescent="0.2">
      <c r="A85" s="1"/>
      <c r="B85" s="1" t="s">
        <v>701</v>
      </c>
      <c r="C85" s="409">
        <f t="shared" si="34"/>
        <v>0</v>
      </c>
      <c r="D85" s="409">
        <f t="shared" si="35"/>
        <v>0</v>
      </c>
      <c r="E85" s="411">
        <f t="shared" si="36"/>
        <v>0</v>
      </c>
      <c r="F85" s="411">
        <f t="shared" si="37"/>
        <v>0</v>
      </c>
      <c r="G85" s="452">
        <v>0.05</v>
      </c>
      <c r="H85" s="411">
        <f t="shared" si="38"/>
        <v>0</v>
      </c>
      <c r="I85" s="1"/>
      <c r="J85" s="1"/>
      <c r="K85" s="1"/>
      <c r="L85" s="1"/>
      <c r="M85" s="1"/>
      <c r="N85" s="1"/>
      <c r="O85" s="1"/>
      <c r="P85" s="1"/>
      <c r="Q85" s="1"/>
      <c r="R85" s="1"/>
      <c r="S85" s="1"/>
      <c r="T85" s="1"/>
      <c r="U85" s="1"/>
      <c r="V85" s="1"/>
      <c r="W85" s="1"/>
      <c r="X85" s="1"/>
      <c r="AA85" s="419"/>
      <c r="AB85" s="419"/>
      <c r="AC85" s="419"/>
      <c r="AD85" s="419"/>
      <c r="AE85" s="419"/>
      <c r="AF85" s="419"/>
    </row>
    <row r="86" spans="1:32" x14ac:dyDescent="0.2">
      <c r="A86" s="1"/>
      <c r="B86" s="1" t="s">
        <v>702</v>
      </c>
      <c r="C86" s="409">
        <f t="shared" si="34"/>
        <v>0</v>
      </c>
      <c r="D86" s="409">
        <f t="shared" si="35"/>
        <v>0</v>
      </c>
      <c r="E86" s="411">
        <f t="shared" si="36"/>
        <v>0</v>
      </c>
      <c r="F86" s="411">
        <f t="shared" si="37"/>
        <v>0</v>
      </c>
      <c r="G86" s="452">
        <v>0.05</v>
      </c>
      <c r="H86" s="411">
        <f t="shared" si="38"/>
        <v>0</v>
      </c>
      <c r="I86" s="1"/>
      <c r="J86" s="1"/>
      <c r="K86" s="1"/>
      <c r="L86" s="1"/>
      <c r="M86" s="1"/>
      <c r="N86" s="1"/>
      <c r="O86" s="1"/>
      <c r="P86" s="1"/>
      <c r="Q86" s="1"/>
      <c r="R86" s="1"/>
      <c r="S86" s="1"/>
      <c r="T86" s="1"/>
      <c r="U86" s="1"/>
      <c r="V86" s="1"/>
      <c r="W86" s="1"/>
      <c r="X86" s="1"/>
      <c r="AA86" s="419"/>
      <c r="AB86" s="419"/>
      <c r="AC86" s="419"/>
      <c r="AD86" s="419"/>
      <c r="AE86" s="419"/>
      <c r="AF86" s="419"/>
    </row>
    <row r="87" spans="1:32" x14ac:dyDescent="0.2">
      <c r="A87" s="1"/>
      <c r="B87" s="1" t="s">
        <v>703</v>
      </c>
      <c r="C87" s="409">
        <f t="shared" si="34"/>
        <v>0</v>
      </c>
      <c r="D87" s="409">
        <f t="shared" si="35"/>
        <v>0</v>
      </c>
      <c r="E87" s="411">
        <f t="shared" si="36"/>
        <v>0</v>
      </c>
      <c r="F87" s="411">
        <f t="shared" si="37"/>
        <v>0</v>
      </c>
      <c r="G87" s="452">
        <v>0.05</v>
      </c>
      <c r="H87" s="411">
        <f t="shared" si="38"/>
        <v>0</v>
      </c>
      <c r="I87" s="1"/>
      <c r="J87" s="1"/>
      <c r="K87" s="1"/>
      <c r="L87" s="1"/>
      <c r="M87" s="1"/>
      <c r="N87" s="1"/>
      <c r="O87" s="1"/>
      <c r="P87" s="1"/>
      <c r="Q87" s="1"/>
      <c r="R87" s="1"/>
      <c r="S87" s="1"/>
      <c r="T87" s="1"/>
      <c r="U87" s="1"/>
      <c r="V87" s="1"/>
      <c r="W87" s="1"/>
      <c r="X87" s="1"/>
      <c r="AA87" s="419"/>
      <c r="AB87" s="419"/>
      <c r="AC87" s="419"/>
      <c r="AD87" s="419"/>
      <c r="AE87" s="419"/>
      <c r="AF87" s="419"/>
    </row>
    <row r="88" spans="1:32" ht="15.75" thickBot="1" x14ac:dyDescent="0.25">
      <c r="A88" s="1"/>
      <c r="B88" s="1"/>
      <c r="C88" s="1"/>
      <c r="D88" s="1"/>
      <c r="E88" s="1"/>
      <c r="F88" s="1" t="s">
        <v>726</v>
      </c>
      <c r="G88" s="1"/>
      <c r="H88" s="440">
        <f>SUM(H82:H87)</f>
        <v>0</v>
      </c>
      <c r="I88" s="1"/>
      <c r="J88" s="1"/>
      <c r="K88" s="1"/>
      <c r="L88" s="1"/>
      <c r="M88" s="1"/>
      <c r="N88" s="1"/>
      <c r="O88" s="1"/>
      <c r="P88" s="1"/>
      <c r="Q88" s="1"/>
      <c r="R88" s="1"/>
      <c r="S88" s="1"/>
      <c r="T88" s="1"/>
      <c r="U88" s="1"/>
      <c r="V88" s="1"/>
      <c r="W88" s="1"/>
      <c r="X88" s="1"/>
      <c r="Y88" s="1"/>
      <c r="Z88" s="1"/>
      <c r="AA88" s="6"/>
    </row>
    <row r="89" spans="1:32" ht="15.75" thickTop="1" x14ac:dyDescent="0.2">
      <c r="A89" s="1"/>
      <c r="B89" s="1"/>
      <c r="C89" s="1"/>
      <c r="D89" s="1"/>
      <c r="E89" s="1"/>
      <c r="F89" s="1"/>
      <c r="G89" s="1"/>
      <c r="H89" s="1"/>
      <c r="I89" s="1"/>
      <c r="J89" s="1"/>
      <c r="K89" s="1"/>
      <c r="L89" s="1"/>
      <c r="M89" s="1"/>
      <c r="N89" s="1"/>
      <c r="O89" s="1"/>
      <c r="P89" s="1"/>
      <c r="Q89" s="1"/>
      <c r="R89" s="1"/>
      <c r="S89" s="1"/>
      <c r="T89" s="1"/>
      <c r="U89" s="1"/>
      <c r="V89" s="1"/>
      <c r="W89" s="1"/>
      <c r="X89" s="1"/>
      <c r="Y89" s="1"/>
      <c r="Z89" s="1"/>
      <c r="AA89" s="6"/>
    </row>
    <row r="90" spans="1:32" x14ac:dyDescent="0.2">
      <c r="A90" s="1"/>
      <c r="B90" s="1"/>
      <c r="C90" s="1"/>
      <c r="D90" s="1"/>
      <c r="E90" s="1"/>
      <c r="F90" s="1"/>
      <c r="G90" s="1"/>
      <c r="H90" s="1"/>
      <c r="I90" s="1"/>
      <c r="J90" s="1"/>
      <c r="K90" s="1"/>
      <c r="L90" s="1"/>
      <c r="M90" s="1"/>
      <c r="N90" s="1"/>
      <c r="O90" s="1"/>
      <c r="P90" s="1"/>
      <c r="Q90" s="1"/>
      <c r="R90" s="1"/>
      <c r="S90" s="1"/>
      <c r="T90" s="1"/>
      <c r="U90" s="1"/>
      <c r="V90" s="1"/>
      <c r="W90" s="1"/>
      <c r="X90" s="1"/>
      <c r="Y90" s="1"/>
      <c r="Z90" s="1"/>
      <c r="AA90" s="6"/>
    </row>
    <row r="91" spans="1:32" ht="15.75" x14ac:dyDescent="0.25">
      <c r="A91" s="1"/>
      <c r="B91" s="5" t="s">
        <v>727</v>
      </c>
      <c r="C91" s="1"/>
      <c r="D91" s="1"/>
      <c r="E91" s="1"/>
      <c r="F91" s="1"/>
      <c r="G91" s="1"/>
      <c r="H91" s="1"/>
      <c r="I91" s="1"/>
      <c r="J91" s="1"/>
      <c r="K91" s="1"/>
      <c r="L91" s="1"/>
      <c r="M91" s="1"/>
      <c r="N91" s="1"/>
      <c r="O91" s="1"/>
      <c r="P91" s="1"/>
      <c r="Q91" s="1"/>
      <c r="R91" s="1"/>
      <c r="S91" s="1"/>
      <c r="T91" s="1"/>
      <c r="U91" s="1"/>
      <c r="V91" s="1"/>
      <c r="W91" s="1"/>
      <c r="X91" s="1"/>
      <c r="Y91" s="1"/>
      <c r="Z91" s="1"/>
      <c r="AA91" s="6"/>
    </row>
    <row r="92" spans="1:32" x14ac:dyDescent="0.2">
      <c r="A92" s="1"/>
      <c r="B92" s="1"/>
      <c r="C92" s="1"/>
      <c r="D92" s="1"/>
      <c r="E92" s="1"/>
      <c r="F92" s="1"/>
      <c r="G92" s="1"/>
      <c r="H92" s="1"/>
      <c r="I92" s="1"/>
      <c r="J92" s="1"/>
      <c r="K92" s="1"/>
      <c r="L92" s="1"/>
      <c r="M92" s="1"/>
      <c r="N92" s="1"/>
      <c r="O92" s="1"/>
      <c r="P92" s="1"/>
      <c r="Q92" s="1"/>
      <c r="R92" s="1"/>
      <c r="S92" s="1"/>
      <c r="T92" s="1"/>
      <c r="U92" s="1"/>
      <c r="V92" s="1"/>
      <c r="W92" s="1"/>
      <c r="X92" s="1"/>
      <c r="Y92" s="1"/>
      <c r="Z92" s="1"/>
      <c r="AA92" s="6"/>
    </row>
    <row r="93" spans="1:32" ht="30" x14ac:dyDescent="0.2">
      <c r="A93" s="1"/>
      <c r="B93" s="1"/>
      <c r="C93" s="408" t="s">
        <v>892</v>
      </c>
      <c r="D93" s="408" t="s">
        <v>721</v>
      </c>
      <c r="E93" s="408" t="s">
        <v>728</v>
      </c>
      <c r="F93" s="408" t="s">
        <v>895</v>
      </c>
      <c r="G93" s="408" t="s">
        <v>673</v>
      </c>
      <c r="H93" s="408" t="s">
        <v>731</v>
      </c>
      <c r="I93" s="407" t="s">
        <v>659</v>
      </c>
      <c r="J93" s="407" t="s">
        <v>729</v>
      </c>
      <c r="K93" s="1"/>
      <c r="L93" s="1"/>
      <c r="M93" s="1"/>
      <c r="N93" s="1"/>
      <c r="O93" s="1"/>
      <c r="P93" s="1"/>
      <c r="Q93" s="1"/>
      <c r="R93" s="1"/>
      <c r="S93" s="1"/>
      <c r="T93" s="1"/>
      <c r="U93" s="1"/>
      <c r="V93" s="1"/>
      <c r="W93" s="1"/>
      <c r="X93" s="1"/>
      <c r="Y93" s="1"/>
      <c r="Z93" s="1"/>
      <c r="AA93" s="6"/>
    </row>
    <row r="94" spans="1:32" x14ac:dyDescent="0.2">
      <c r="A94" s="1"/>
      <c r="B94" s="1" t="s">
        <v>698</v>
      </c>
      <c r="C94" s="409">
        <f t="shared" ref="C94:C99" si="39">C41</f>
        <v>0</v>
      </c>
      <c r="D94" s="409">
        <f t="shared" ref="D94:D99" si="40">D54</f>
        <v>0</v>
      </c>
      <c r="E94" s="409">
        <f t="shared" ref="E94:E99" si="41">F16</f>
        <v>0</v>
      </c>
      <c r="F94" s="409">
        <f t="shared" ref="F94:F99" si="42">E54</f>
        <v>0</v>
      </c>
      <c r="G94" s="413">
        <f t="shared" ref="G94:G99" si="43">(POWER(((F94+E94)/2),0.75)/97.7)</f>
        <v>0</v>
      </c>
      <c r="H94" s="413">
        <f t="shared" ref="H94:H99" si="44">D94/365*G94*C94</f>
        <v>0</v>
      </c>
      <c r="I94" s="413">
        <f>IF(D8&lt;=0,0,H94/$D$8)</f>
        <v>0</v>
      </c>
      <c r="J94" s="413">
        <f t="shared" ref="J94:J100" si="45">IF(H94&lt;=0,0,$D$8/H94)</f>
        <v>0</v>
      </c>
      <c r="K94" s="1"/>
      <c r="L94" s="1"/>
      <c r="M94" s="1"/>
      <c r="N94" s="1"/>
      <c r="O94" s="1"/>
      <c r="P94" s="1"/>
      <c r="Q94" s="1"/>
      <c r="R94" s="1"/>
      <c r="S94" s="1"/>
      <c r="T94" s="1"/>
      <c r="U94" s="1"/>
      <c r="V94" s="1"/>
      <c r="W94" s="1"/>
      <c r="X94" s="1"/>
      <c r="Y94" s="1"/>
      <c r="Z94" s="1"/>
      <c r="AA94" s="6"/>
    </row>
    <row r="95" spans="1:32" x14ac:dyDescent="0.2">
      <c r="A95" s="1"/>
      <c r="B95" s="1" t="s">
        <v>699</v>
      </c>
      <c r="C95" s="409">
        <f t="shared" si="39"/>
        <v>0</v>
      </c>
      <c r="D95" s="409">
        <f t="shared" si="40"/>
        <v>0</v>
      </c>
      <c r="E95" s="409">
        <f t="shared" si="41"/>
        <v>0</v>
      </c>
      <c r="F95" s="409">
        <f t="shared" si="42"/>
        <v>0</v>
      </c>
      <c r="G95" s="413">
        <f t="shared" si="43"/>
        <v>0</v>
      </c>
      <c r="H95" s="413">
        <f t="shared" si="44"/>
        <v>0</v>
      </c>
      <c r="I95" s="413">
        <f>IF(D8&lt;=0,0,H95/$D$8)</f>
        <v>0</v>
      </c>
      <c r="J95" s="413">
        <f t="shared" si="45"/>
        <v>0</v>
      </c>
      <c r="K95" s="1"/>
      <c r="L95" s="1"/>
      <c r="M95" s="1"/>
      <c r="N95" s="1"/>
      <c r="O95" s="1"/>
      <c r="P95" s="1"/>
      <c r="Q95" s="1"/>
      <c r="R95" s="1"/>
      <c r="S95" s="1"/>
      <c r="T95" s="1"/>
      <c r="U95" s="1"/>
      <c r="V95" s="1"/>
      <c r="W95" s="1"/>
      <c r="X95" s="1"/>
      <c r="Y95" s="1"/>
      <c r="Z95" s="1"/>
      <c r="AA95" s="6"/>
    </row>
    <row r="96" spans="1:32" x14ac:dyDescent="0.2">
      <c r="A96" s="1"/>
      <c r="B96" s="1" t="s">
        <v>700</v>
      </c>
      <c r="C96" s="409">
        <f t="shared" si="39"/>
        <v>0</v>
      </c>
      <c r="D96" s="409">
        <f t="shared" si="40"/>
        <v>0</v>
      </c>
      <c r="E96" s="409">
        <f t="shared" si="41"/>
        <v>0</v>
      </c>
      <c r="F96" s="409">
        <f t="shared" si="42"/>
        <v>0</v>
      </c>
      <c r="G96" s="413">
        <f t="shared" si="43"/>
        <v>0</v>
      </c>
      <c r="H96" s="413">
        <f t="shared" si="44"/>
        <v>0</v>
      </c>
      <c r="I96" s="413">
        <f>IF(D8&lt;=0,0,H96/$D$8)</f>
        <v>0</v>
      </c>
      <c r="J96" s="413">
        <f t="shared" si="45"/>
        <v>0</v>
      </c>
      <c r="K96" s="1"/>
      <c r="L96" s="1"/>
      <c r="M96" s="1"/>
      <c r="N96" s="1"/>
      <c r="O96" s="1"/>
      <c r="P96" s="1"/>
      <c r="Q96" s="1"/>
      <c r="R96" s="1"/>
      <c r="S96" s="1"/>
      <c r="T96" s="1"/>
      <c r="U96" s="1"/>
      <c r="V96" s="1"/>
      <c r="W96" s="1"/>
      <c r="X96" s="1"/>
      <c r="Y96" s="1"/>
      <c r="Z96" s="1"/>
      <c r="AA96" s="6"/>
    </row>
    <row r="97" spans="1:44" x14ac:dyDescent="0.2">
      <c r="A97" s="1"/>
      <c r="B97" s="1" t="s">
        <v>701</v>
      </c>
      <c r="C97" s="409">
        <f t="shared" si="39"/>
        <v>0</v>
      </c>
      <c r="D97" s="409">
        <f t="shared" si="40"/>
        <v>0</v>
      </c>
      <c r="E97" s="409">
        <f t="shared" si="41"/>
        <v>0</v>
      </c>
      <c r="F97" s="409">
        <f t="shared" si="42"/>
        <v>0</v>
      </c>
      <c r="G97" s="413">
        <f t="shared" si="43"/>
        <v>0</v>
      </c>
      <c r="H97" s="413">
        <f t="shared" si="44"/>
        <v>0</v>
      </c>
      <c r="I97" s="413">
        <f>IF(D8&lt;=0,0,H97/$D$8)</f>
        <v>0</v>
      </c>
      <c r="J97" s="413">
        <f t="shared" si="45"/>
        <v>0</v>
      </c>
      <c r="K97" s="1"/>
      <c r="L97" s="1"/>
      <c r="M97" s="1"/>
      <c r="N97" s="1"/>
      <c r="O97" s="1"/>
      <c r="P97" s="1"/>
      <c r="Q97" s="1"/>
      <c r="R97" s="1"/>
      <c r="S97" s="1"/>
      <c r="T97" s="1"/>
      <c r="U97" s="1"/>
      <c r="V97" s="1"/>
      <c r="W97" s="1"/>
      <c r="X97" s="1"/>
      <c r="Y97" s="1"/>
      <c r="Z97" s="1"/>
      <c r="AA97" s="6"/>
    </row>
    <row r="98" spans="1:44" x14ac:dyDescent="0.2">
      <c r="A98" s="1"/>
      <c r="B98" s="1" t="s">
        <v>702</v>
      </c>
      <c r="C98" s="409">
        <f t="shared" si="39"/>
        <v>0</v>
      </c>
      <c r="D98" s="409">
        <f t="shared" si="40"/>
        <v>0</v>
      </c>
      <c r="E98" s="409">
        <f t="shared" si="41"/>
        <v>0</v>
      </c>
      <c r="F98" s="409">
        <f t="shared" si="42"/>
        <v>0</v>
      </c>
      <c r="G98" s="413">
        <f t="shared" si="43"/>
        <v>0</v>
      </c>
      <c r="H98" s="413">
        <f t="shared" si="44"/>
        <v>0</v>
      </c>
      <c r="I98" s="413">
        <f>IF(D8&lt;=0,0,H98/$D$8)</f>
        <v>0</v>
      </c>
      <c r="J98" s="413">
        <f t="shared" si="45"/>
        <v>0</v>
      </c>
      <c r="K98" s="1"/>
      <c r="L98" s="1"/>
      <c r="M98" s="1"/>
      <c r="N98" s="1"/>
      <c r="O98" s="1"/>
      <c r="P98" s="1"/>
      <c r="Q98" s="1"/>
      <c r="R98" s="1"/>
      <c r="S98" s="1"/>
      <c r="T98" s="1"/>
      <c r="U98" s="1"/>
      <c r="V98" s="1"/>
      <c r="W98" s="1"/>
      <c r="X98" s="1"/>
      <c r="Y98" s="1"/>
      <c r="Z98" s="1"/>
      <c r="AA98" s="6"/>
    </row>
    <row r="99" spans="1:44" x14ac:dyDescent="0.2">
      <c r="A99" s="1"/>
      <c r="B99" s="1" t="s">
        <v>703</v>
      </c>
      <c r="C99" s="409">
        <f t="shared" si="39"/>
        <v>0</v>
      </c>
      <c r="D99" s="409">
        <f t="shared" si="40"/>
        <v>0</v>
      </c>
      <c r="E99" s="409">
        <f t="shared" si="41"/>
        <v>0</v>
      </c>
      <c r="F99" s="409">
        <f t="shared" si="42"/>
        <v>0</v>
      </c>
      <c r="G99" s="413">
        <f t="shared" si="43"/>
        <v>0</v>
      </c>
      <c r="H99" s="413">
        <f t="shared" si="44"/>
        <v>0</v>
      </c>
      <c r="I99" s="413">
        <f>IF(D8&lt;=0,0,H99/$D$8)</f>
        <v>0</v>
      </c>
      <c r="J99" s="413">
        <f t="shared" si="45"/>
        <v>0</v>
      </c>
      <c r="K99" s="1"/>
      <c r="L99" s="1"/>
      <c r="M99" s="1"/>
      <c r="N99" s="1"/>
      <c r="O99" s="1"/>
      <c r="P99" s="1"/>
      <c r="Q99" s="1"/>
      <c r="R99" s="1"/>
      <c r="S99" s="1"/>
      <c r="T99" s="1"/>
      <c r="U99" s="1"/>
      <c r="V99" s="1"/>
      <c r="W99" s="1"/>
      <c r="X99" s="1"/>
      <c r="Y99" s="1"/>
      <c r="Z99" s="1"/>
      <c r="AA99" s="6"/>
    </row>
    <row r="100" spans="1:44" x14ac:dyDescent="0.2">
      <c r="A100" s="1"/>
      <c r="B100" s="1"/>
      <c r="C100" s="1"/>
      <c r="D100" s="1"/>
      <c r="E100" s="1"/>
      <c r="F100" s="1"/>
      <c r="G100" s="1" t="s">
        <v>730</v>
      </c>
      <c r="H100" s="453">
        <f>SUM(H94:H99)</f>
        <v>0</v>
      </c>
      <c r="I100" s="418">
        <f>IF(D8&lt;=0,0,H100/$D$8)</f>
        <v>0</v>
      </c>
      <c r="J100" s="418">
        <f t="shared" si="45"/>
        <v>0</v>
      </c>
      <c r="K100" s="1"/>
      <c r="L100" s="1"/>
      <c r="M100" s="1"/>
      <c r="N100" s="1"/>
      <c r="O100" s="1"/>
      <c r="P100" s="1"/>
      <c r="Q100" s="1"/>
      <c r="R100" s="1"/>
      <c r="S100" s="1"/>
      <c r="T100" s="1"/>
      <c r="U100" s="1"/>
      <c r="V100" s="1"/>
      <c r="W100" s="1"/>
      <c r="X100" s="1"/>
      <c r="Y100" s="1"/>
      <c r="Z100" s="1"/>
      <c r="AA100" s="6"/>
    </row>
    <row r="101" spans="1:44"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6"/>
    </row>
    <row r="102" spans="1:44" x14ac:dyDescent="0.2">
      <c r="A102" s="1"/>
      <c r="B102" s="1"/>
      <c r="C102" s="1"/>
      <c r="D102" s="1"/>
      <c r="E102" s="1"/>
      <c r="F102" s="1"/>
      <c r="G102" s="1"/>
      <c r="H102" s="1"/>
      <c r="I102" s="1"/>
      <c r="J102" s="1"/>
      <c r="K102" s="1"/>
      <c r="L102" s="1"/>
      <c r="M102" s="1"/>
      <c r="N102" s="1"/>
      <c r="O102" s="1"/>
      <c r="P102" s="1"/>
      <c r="Q102" s="1"/>
      <c r="R102" s="1" t="s">
        <v>788</v>
      </c>
      <c r="S102" s="1"/>
      <c r="T102" s="1"/>
      <c r="U102" s="1"/>
      <c r="W102" s="1"/>
      <c r="X102" s="1"/>
      <c r="Y102" s="1" t="s">
        <v>789</v>
      </c>
      <c r="Z102" s="1"/>
      <c r="AA102" s="6"/>
    </row>
    <row r="103" spans="1:44"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6"/>
    </row>
    <row r="104" spans="1:44"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6"/>
    </row>
    <row r="105" spans="1:44" ht="15.75" x14ac:dyDescent="0.25">
      <c r="A105" s="1"/>
      <c r="B105" s="446" t="s">
        <v>397</v>
      </c>
      <c r="C105" s="1"/>
      <c r="D105" s="1"/>
      <c r="E105" s="1"/>
      <c r="F105" s="1"/>
      <c r="G105" s="1"/>
      <c r="H105" s="1"/>
      <c r="I105" s="1"/>
      <c r="J105" s="1"/>
      <c r="K105" s="1"/>
      <c r="L105" s="1"/>
      <c r="M105" s="1"/>
      <c r="N105" s="1"/>
      <c r="O105" s="1"/>
      <c r="P105" s="1"/>
      <c r="Q105" s="1"/>
      <c r="R105" s="1"/>
      <c r="S105" s="1"/>
      <c r="T105" s="1"/>
      <c r="U105" s="1"/>
      <c r="V105" s="1"/>
      <c r="W105" s="1"/>
      <c r="X105" s="1"/>
      <c r="Y105" s="1"/>
      <c r="Z105" s="1"/>
      <c r="AA105" s="6"/>
    </row>
    <row r="106" spans="1:44" x14ac:dyDescent="0.2">
      <c r="A106" s="1"/>
      <c r="B106" s="1"/>
      <c r="C106" s="1"/>
      <c r="D106" s="1"/>
      <c r="E106" s="1"/>
      <c r="F106" s="1"/>
      <c r="G106" s="1"/>
      <c r="H106" s="1"/>
      <c r="I106" s="1"/>
      <c r="J106" s="1"/>
      <c r="K106" s="1"/>
      <c r="L106" s="1"/>
      <c r="M106" s="1"/>
      <c r="N106" s="1"/>
      <c r="O106" s="1"/>
      <c r="P106" s="1"/>
      <c r="Q106" s="1"/>
    </row>
    <row r="107" spans="1:44" ht="15.75" x14ac:dyDescent="0.25">
      <c r="C107" s="446" t="s">
        <v>620</v>
      </c>
      <c r="D107" s="1" t="s">
        <v>398</v>
      </c>
      <c r="E107" s="1"/>
      <c r="F107" s="1"/>
      <c r="G107" s="1"/>
      <c r="H107" s="1"/>
      <c r="I107" s="1"/>
      <c r="J107" s="1"/>
      <c r="L107" s="446" t="s">
        <v>582</v>
      </c>
      <c r="N107" s="446" t="s">
        <v>620</v>
      </c>
      <c r="O107" s="1"/>
      <c r="P107" s="1"/>
      <c r="Q107" s="1"/>
      <c r="R107" s="1"/>
      <c r="S107" s="1"/>
      <c r="T107" s="1"/>
      <c r="U107" s="1"/>
      <c r="Y107" s="446" t="s">
        <v>795</v>
      </c>
      <c r="Z107" s="446" t="s">
        <v>393</v>
      </c>
      <c r="AA107" s="6"/>
      <c r="AB107" s="6"/>
      <c r="AC107" s="6"/>
      <c r="AD107" s="6"/>
      <c r="AE107" s="6"/>
      <c r="AF107" s="6"/>
      <c r="AG107" s="1"/>
      <c r="AI107" s="446" t="s">
        <v>582</v>
      </c>
      <c r="AJ107" s="446" t="s">
        <v>393</v>
      </c>
      <c r="AL107" s="1"/>
      <c r="AM107" s="1"/>
      <c r="AN107" s="1"/>
      <c r="AO107" s="1"/>
      <c r="AP107" s="1"/>
      <c r="AQ107" s="1"/>
      <c r="AR107" s="1"/>
    </row>
    <row r="108" spans="1:44" x14ac:dyDescent="0.2">
      <c r="B108" s="65"/>
      <c r="C108" s="1"/>
      <c r="D108" s="14"/>
      <c r="E108" s="14"/>
      <c r="F108" s="14"/>
      <c r="G108" s="14"/>
      <c r="H108" s="14"/>
      <c r="I108" s="14"/>
      <c r="J108" s="14"/>
      <c r="L108" s="65"/>
      <c r="M108" s="1"/>
      <c r="N108" s="14"/>
      <c r="O108" s="14"/>
      <c r="P108" s="14"/>
      <c r="Q108" s="14"/>
      <c r="R108" s="14"/>
      <c r="S108" s="14"/>
      <c r="T108" s="14"/>
      <c r="U108" s="14"/>
      <c r="Y108" s="65"/>
      <c r="Z108" s="1"/>
      <c r="AA108" s="6"/>
      <c r="AB108" s="6"/>
      <c r="AC108" s="6"/>
      <c r="AD108" s="6"/>
      <c r="AE108" s="6"/>
      <c r="AF108" s="6"/>
      <c r="AG108" s="14"/>
      <c r="AI108" s="65"/>
      <c r="AJ108" s="1"/>
      <c r="AK108" s="14"/>
      <c r="AL108" s="14"/>
      <c r="AM108" s="14"/>
      <c r="AN108" s="14"/>
      <c r="AO108" s="14"/>
      <c r="AP108" s="14"/>
      <c r="AQ108" s="14"/>
      <c r="AR108" s="14"/>
    </row>
    <row r="109" spans="1:44" ht="15.75" x14ac:dyDescent="0.25">
      <c r="B109" s="482" t="s">
        <v>994</v>
      </c>
      <c r="C109" s="483" t="s">
        <v>583</v>
      </c>
      <c r="D109" s="484" t="s">
        <v>616</v>
      </c>
      <c r="E109" s="482" t="s">
        <v>619</v>
      </c>
      <c r="F109" s="485" t="s">
        <v>617</v>
      </c>
      <c r="G109" s="485" t="s">
        <v>245</v>
      </c>
      <c r="H109" s="486" t="s">
        <v>489</v>
      </c>
      <c r="I109" s="486" t="s">
        <v>490</v>
      </c>
      <c r="L109" s="482" t="s">
        <v>994</v>
      </c>
      <c r="M109" s="483" t="s">
        <v>583</v>
      </c>
      <c r="N109" s="484" t="s">
        <v>616</v>
      </c>
      <c r="O109" s="482" t="s">
        <v>619</v>
      </c>
      <c r="P109" s="485" t="s">
        <v>617</v>
      </c>
      <c r="Q109" s="482"/>
      <c r="R109" s="485" t="s">
        <v>245</v>
      </c>
      <c r="S109" s="487" t="s">
        <v>489</v>
      </c>
      <c r="T109" s="487" t="s">
        <v>490</v>
      </c>
      <c r="U109" s="1"/>
      <c r="Y109" s="488" t="s">
        <v>994</v>
      </c>
      <c r="Z109" s="94" t="s">
        <v>583</v>
      </c>
      <c r="AA109" s="488" t="s">
        <v>616</v>
      </c>
      <c r="AB109" s="488" t="s">
        <v>619</v>
      </c>
      <c r="AC109" s="488" t="s">
        <v>617</v>
      </c>
      <c r="AD109" s="488" t="s">
        <v>618</v>
      </c>
      <c r="AE109" s="489" t="s">
        <v>489</v>
      </c>
      <c r="AF109" s="489" t="s">
        <v>490</v>
      </c>
      <c r="AI109" s="488" t="s">
        <v>994</v>
      </c>
      <c r="AJ109" s="94" t="s">
        <v>583</v>
      </c>
      <c r="AK109" s="490" t="s">
        <v>616</v>
      </c>
      <c r="AL109" s="488" t="s">
        <v>619</v>
      </c>
      <c r="AM109" s="74" t="s">
        <v>617</v>
      </c>
      <c r="AN109" s="488"/>
      <c r="AO109" s="74" t="s">
        <v>618</v>
      </c>
      <c r="AP109" s="72" t="s">
        <v>489</v>
      </c>
      <c r="AQ109" s="72" t="s">
        <v>490</v>
      </c>
      <c r="AR109" s="1"/>
    </row>
    <row r="110" spans="1:44" ht="15.75" x14ac:dyDescent="0.25">
      <c r="B110" s="435"/>
      <c r="C110" s="491" t="str">
        <f>IF(B110&lt;=0,"",VLOOKUP(B110,Treatments!$C$7:$J$407,2))</f>
        <v/>
      </c>
      <c r="D110" s="492"/>
      <c r="E110" s="433">
        <f>VLOOKUP(B110,Treatments!$C$7:$J$407,8)</f>
        <v>0</v>
      </c>
      <c r="F110" s="435"/>
      <c r="G110" s="493"/>
      <c r="H110" s="433">
        <f>D110*E110*F110*G110</f>
        <v>0</v>
      </c>
      <c r="I110" s="411">
        <f>H110*$D$9</f>
        <v>0</v>
      </c>
      <c r="L110" s="305"/>
      <c r="M110" s="491" t="str">
        <f>VLOOKUP(L110,Treatments!$C$7:$J$407,2)</f>
        <v>No treatment</v>
      </c>
      <c r="N110" s="306"/>
      <c r="O110" s="433">
        <f>VLOOKUP(L110,Treatments!$C$7:$J$407,8)</f>
        <v>0</v>
      </c>
      <c r="P110" s="305"/>
      <c r="Q110" s="307"/>
      <c r="R110" s="308"/>
      <c r="S110" s="433">
        <f t="shared" ref="S110:S115" si="46">N110*O110*P110*R110</f>
        <v>0</v>
      </c>
      <c r="T110" s="411">
        <f t="shared" ref="T110:T115" si="47">S110*$D$9</f>
        <v>0</v>
      </c>
      <c r="U110" s="1"/>
      <c r="Y110" s="447">
        <f>IF(AND(B110&gt;=344,B110&lt;=358),B110+15,B110)</f>
        <v>0</v>
      </c>
      <c r="Z110" s="491" t="str">
        <f>VLOOKUP(Y110,Treatments!$C$7:$J$407,2)</f>
        <v>No treatment</v>
      </c>
      <c r="AA110" s="495">
        <f>D110</f>
        <v>0</v>
      </c>
      <c r="AB110" s="433">
        <f>VLOOKUP(Y110,Treatments!$C$7:$J$407,8)</f>
        <v>0</v>
      </c>
      <c r="AC110" s="495">
        <f>F110</f>
        <v>0</v>
      </c>
      <c r="AD110" s="496">
        <f>G110</f>
        <v>0</v>
      </c>
      <c r="AE110" s="433">
        <f>AA110*AB110*AC110*AD110</f>
        <v>0</v>
      </c>
      <c r="AF110" s="411">
        <f t="shared" ref="AF110:AF124" si="48">AE110*$D$9</f>
        <v>0</v>
      </c>
      <c r="AI110" s="447">
        <f t="shared" ref="AI110:AI115" si="49">IF(AND(L110&gt;=344,L110&lt;=358),L110+15,L110)</f>
        <v>0</v>
      </c>
      <c r="AJ110" s="491" t="str">
        <f>VLOOKUP(AI110,Treatments!$C$7:$J$407,2)</f>
        <v>No treatment</v>
      </c>
      <c r="AK110" s="495">
        <f t="shared" ref="AK110:AK115" si="50">N110</f>
        <v>0</v>
      </c>
      <c r="AL110" s="433">
        <f>VLOOKUP(AI110,Treatments!$C$7:$J$407,8)</f>
        <v>0</v>
      </c>
      <c r="AM110" s="495">
        <f t="shared" ref="AM110:AM115" si="51">P110</f>
        <v>0</v>
      </c>
      <c r="AN110" s="494"/>
      <c r="AO110" s="496">
        <f t="shared" ref="AO110:AO115" si="52">R110</f>
        <v>0</v>
      </c>
      <c r="AP110" s="433">
        <f t="shared" ref="AP110:AP115" si="53">AK110*AL110*AM110*AO110</f>
        <v>0</v>
      </c>
      <c r="AQ110" s="411">
        <f t="shared" ref="AQ110:AQ115" si="54">AP110*$D$9</f>
        <v>0</v>
      </c>
      <c r="AR110" s="1"/>
    </row>
    <row r="111" spans="1:44" ht="15.75" x14ac:dyDescent="0.25">
      <c r="B111" s="435"/>
      <c r="C111" s="491" t="str">
        <f>IF(B111&lt;=0,"",VLOOKUP(B111,Treatments!$C$7:$J$407,2))</f>
        <v/>
      </c>
      <c r="D111" s="492"/>
      <c r="E111" s="433">
        <f>VLOOKUP(B111,Treatments!$C$7:$J$407,8)</f>
        <v>0</v>
      </c>
      <c r="F111" s="435"/>
      <c r="G111" s="493"/>
      <c r="H111" s="433">
        <f>D111*E111*F111*G111</f>
        <v>0</v>
      </c>
      <c r="I111" s="411">
        <f t="shared" ref="I111:I124" si="55">H111*$D$9</f>
        <v>0</v>
      </c>
      <c r="L111" s="305"/>
      <c r="M111" s="491" t="str">
        <f>VLOOKUP(L111,Treatments!$C$7:$J$407,2)</f>
        <v>No treatment</v>
      </c>
      <c r="N111" s="306"/>
      <c r="O111" s="433">
        <f>VLOOKUP(L111,Treatments!$C$7:$J$407,8)</f>
        <v>0</v>
      </c>
      <c r="P111" s="305"/>
      <c r="Q111" s="309"/>
      <c r="R111" s="308"/>
      <c r="S111" s="433">
        <f t="shared" si="46"/>
        <v>0</v>
      </c>
      <c r="T111" s="411">
        <f t="shared" si="47"/>
        <v>0</v>
      </c>
      <c r="U111" s="1"/>
      <c r="Y111" s="447">
        <f t="shared" ref="Y111:Y124" si="56">IF(AND(B111&gt;=344,B111&lt;=358),B111+15,B111)</f>
        <v>0</v>
      </c>
      <c r="Z111" s="491" t="str">
        <f>VLOOKUP(Y111,Treatments!$C$7:$J$407,2)</f>
        <v>No treatment</v>
      </c>
      <c r="AA111" s="495">
        <f t="shared" ref="AA111:AA124" si="57">D111</f>
        <v>0</v>
      </c>
      <c r="AB111" s="433">
        <f>VLOOKUP(Y111,Treatments!$C$7:$J$407,8)</f>
        <v>0</v>
      </c>
      <c r="AC111" s="495">
        <f t="shared" ref="AC111:AD124" si="58">F111</f>
        <v>0</v>
      </c>
      <c r="AD111" s="496">
        <f t="shared" si="58"/>
        <v>0</v>
      </c>
      <c r="AE111" s="433">
        <f>AA111*AB111*AC111*AD111</f>
        <v>0</v>
      </c>
      <c r="AF111" s="411">
        <f t="shared" si="48"/>
        <v>0</v>
      </c>
      <c r="AI111" s="447">
        <f t="shared" si="49"/>
        <v>0</v>
      </c>
      <c r="AJ111" s="491" t="str">
        <f>VLOOKUP(AI111,Treatments!$C$7:$J$407,2)</f>
        <v>No treatment</v>
      </c>
      <c r="AK111" s="495">
        <f t="shared" si="50"/>
        <v>0</v>
      </c>
      <c r="AL111" s="433">
        <f>VLOOKUP(AI111,Treatments!$C$7:$J$407,8)</f>
        <v>0</v>
      </c>
      <c r="AM111" s="495">
        <f t="shared" si="51"/>
        <v>0</v>
      </c>
      <c r="AN111" s="497"/>
      <c r="AO111" s="496">
        <f t="shared" si="52"/>
        <v>0</v>
      </c>
      <c r="AP111" s="433">
        <f t="shared" si="53"/>
        <v>0</v>
      </c>
      <c r="AQ111" s="411">
        <f t="shared" si="54"/>
        <v>0</v>
      </c>
      <c r="AR111" s="1"/>
    </row>
    <row r="112" spans="1:44" ht="15.75" x14ac:dyDescent="0.25">
      <c r="B112" s="435"/>
      <c r="C112" s="491" t="str">
        <f>IF(B112&lt;=0,"",VLOOKUP(B112,Treatments!$C$7:$J$407,2))</f>
        <v/>
      </c>
      <c r="D112" s="492"/>
      <c r="E112" s="433">
        <f>VLOOKUP(B112,Treatments!$C$7:$J$407,8)</f>
        <v>0</v>
      </c>
      <c r="F112" s="435"/>
      <c r="G112" s="493"/>
      <c r="H112" s="433">
        <f t="shared" ref="H112:H122" si="59">D112*E112*F112*G112</f>
        <v>0</v>
      </c>
      <c r="I112" s="411">
        <f t="shared" si="55"/>
        <v>0</v>
      </c>
      <c r="L112" s="305"/>
      <c r="M112" s="491" t="str">
        <f>VLOOKUP(L112,Treatments!$C$7:$J$407,2)</f>
        <v>No treatment</v>
      </c>
      <c r="N112" s="306"/>
      <c r="O112" s="433">
        <f>VLOOKUP(L112,Treatments!$C$7:$J$407,8)</f>
        <v>0</v>
      </c>
      <c r="P112" s="305"/>
      <c r="Q112" s="310"/>
      <c r="R112" s="308"/>
      <c r="S112" s="433">
        <f t="shared" si="46"/>
        <v>0</v>
      </c>
      <c r="T112" s="411">
        <f t="shared" si="47"/>
        <v>0</v>
      </c>
      <c r="U112" s="1"/>
      <c r="Y112" s="447">
        <f t="shared" si="56"/>
        <v>0</v>
      </c>
      <c r="Z112" s="491" t="str">
        <f>VLOOKUP(Y112,Treatments!$C$7:$J$407,2)</f>
        <v>No treatment</v>
      </c>
      <c r="AA112" s="495">
        <f t="shared" si="57"/>
        <v>0</v>
      </c>
      <c r="AB112" s="433">
        <f>VLOOKUP(Y112,Treatments!$C$7:$J$407,8)</f>
        <v>0</v>
      </c>
      <c r="AC112" s="495">
        <f t="shared" si="58"/>
        <v>0</v>
      </c>
      <c r="AD112" s="496">
        <f t="shared" si="58"/>
        <v>0</v>
      </c>
      <c r="AE112" s="433">
        <f t="shared" ref="AE112:AE122" si="60">AA112*AB112*AC112*AD112</f>
        <v>0</v>
      </c>
      <c r="AF112" s="411">
        <f t="shared" si="48"/>
        <v>0</v>
      </c>
      <c r="AI112" s="447">
        <f t="shared" si="49"/>
        <v>0</v>
      </c>
      <c r="AJ112" s="491" t="str">
        <f>VLOOKUP(AI112,Treatments!$C$7:$J$407,2)</f>
        <v>No treatment</v>
      </c>
      <c r="AK112" s="495">
        <f t="shared" si="50"/>
        <v>0</v>
      </c>
      <c r="AL112" s="433">
        <f>VLOOKUP(AI112,Treatments!$C$7:$J$407,8)</f>
        <v>0</v>
      </c>
      <c r="AM112" s="495">
        <f t="shared" si="51"/>
        <v>0</v>
      </c>
      <c r="AN112" s="160"/>
      <c r="AO112" s="496">
        <f t="shared" si="52"/>
        <v>0</v>
      </c>
      <c r="AP112" s="433">
        <f t="shared" si="53"/>
        <v>0</v>
      </c>
      <c r="AQ112" s="411">
        <f t="shared" si="54"/>
        <v>0</v>
      </c>
      <c r="AR112" s="1"/>
    </row>
    <row r="113" spans="2:44" ht="15.75" x14ac:dyDescent="0.25">
      <c r="B113" s="435"/>
      <c r="C113" s="491" t="str">
        <f>IF(B113&lt;=0,"",VLOOKUP(B113,Treatments!$C$7:$J$407,2))</f>
        <v/>
      </c>
      <c r="D113" s="492"/>
      <c r="E113" s="433">
        <f>VLOOKUP(B113,Treatments!$C$7:$J$407,8)</f>
        <v>0</v>
      </c>
      <c r="F113" s="435"/>
      <c r="G113" s="493"/>
      <c r="H113" s="433">
        <f t="shared" si="59"/>
        <v>0</v>
      </c>
      <c r="I113" s="411">
        <f t="shared" si="55"/>
        <v>0</v>
      </c>
      <c r="L113" s="305"/>
      <c r="M113" s="491" t="str">
        <f>VLOOKUP(L113,Treatments!$C$7:$J$407,2)</f>
        <v>No treatment</v>
      </c>
      <c r="N113" s="306"/>
      <c r="O113" s="433">
        <f>VLOOKUP(L113,Treatments!$C$7:$J$407,8)</f>
        <v>0</v>
      </c>
      <c r="P113" s="305"/>
      <c r="Q113" s="310"/>
      <c r="R113" s="308"/>
      <c r="S113" s="433">
        <f t="shared" si="46"/>
        <v>0</v>
      </c>
      <c r="T113" s="411">
        <f t="shared" si="47"/>
        <v>0</v>
      </c>
      <c r="U113" s="1"/>
      <c r="Y113" s="447">
        <f t="shared" si="56"/>
        <v>0</v>
      </c>
      <c r="Z113" s="491" t="str">
        <f>VLOOKUP(Y113,Treatments!$C$7:$J$407,2)</f>
        <v>No treatment</v>
      </c>
      <c r="AA113" s="495">
        <f t="shared" si="57"/>
        <v>0</v>
      </c>
      <c r="AB113" s="433">
        <f>VLOOKUP(Y113,Treatments!$C$7:$J$407,8)</f>
        <v>0</v>
      </c>
      <c r="AC113" s="495">
        <f t="shared" si="58"/>
        <v>0</v>
      </c>
      <c r="AD113" s="496">
        <f t="shared" si="58"/>
        <v>0</v>
      </c>
      <c r="AE113" s="433">
        <f t="shared" si="60"/>
        <v>0</v>
      </c>
      <c r="AF113" s="411">
        <f t="shared" si="48"/>
        <v>0</v>
      </c>
      <c r="AI113" s="447">
        <f t="shared" si="49"/>
        <v>0</v>
      </c>
      <c r="AJ113" s="491" t="str">
        <f>VLOOKUP(AI113,Treatments!$C$7:$J$407,2)</f>
        <v>No treatment</v>
      </c>
      <c r="AK113" s="495">
        <f t="shared" si="50"/>
        <v>0</v>
      </c>
      <c r="AL113" s="433">
        <f>VLOOKUP(AI113,Treatments!$C$7:$J$407,8)</f>
        <v>0</v>
      </c>
      <c r="AM113" s="495">
        <f t="shared" si="51"/>
        <v>0</v>
      </c>
      <c r="AN113" s="498"/>
      <c r="AO113" s="496">
        <f t="shared" si="52"/>
        <v>0</v>
      </c>
      <c r="AP113" s="433">
        <f t="shared" si="53"/>
        <v>0</v>
      </c>
      <c r="AQ113" s="411">
        <f t="shared" si="54"/>
        <v>0</v>
      </c>
      <c r="AR113" s="1"/>
    </row>
    <row r="114" spans="2:44" ht="15.75" x14ac:dyDescent="0.25">
      <c r="B114" s="435"/>
      <c r="C114" s="491" t="str">
        <f>IF(B114&lt;=0,"",VLOOKUP(B114,Treatments!$C$7:$J$407,2))</f>
        <v/>
      </c>
      <c r="D114" s="492"/>
      <c r="E114" s="433">
        <f>VLOOKUP(B114,Treatments!$C$7:$J$407,8)</f>
        <v>0</v>
      </c>
      <c r="F114" s="435"/>
      <c r="G114" s="493"/>
      <c r="H114" s="433">
        <f t="shared" si="59"/>
        <v>0</v>
      </c>
      <c r="I114" s="411">
        <f t="shared" si="55"/>
        <v>0</v>
      </c>
      <c r="L114" s="305"/>
      <c r="M114" s="491" t="str">
        <f>VLOOKUP(L114,Treatments!$C$7:$J$407,2)</f>
        <v>No treatment</v>
      </c>
      <c r="N114" s="306"/>
      <c r="O114" s="433">
        <f>VLOOKUP(L114,Treatments!$C$7:$J$407,8)</f>
        <v>0</v>
      </c>
      <c r="P114" s="305"/>
      <c r="Q114" s="310"/>
      <c r="R114" s="308"/>
      <c r="S114" s="433">
        <f t="shared" si="46"/>
        <v>0</v>
      </c>
      <c r="T114" s="411">
        <f t="shared" si="47"/>
        <v>0</v>
      </c>
      <c r="U114" s="1"/>
      <c r="Y114" s="447">
        <f t="shared" si="56"/>
        <v>0</v>
      </c>
      <c r="Z114" s="491" t="str">
        <f>VLOOKUP(Y114,Treatments!$C$7:$J$407,2)</f>
        <v>No treatment</v>
      </c>
      <c r="AA114" s="495">
        <f t="shared" si="57"/>
        <v>0</v>
      </c>
      <c r="AB114" s="433">
        <f>VLOOKUP(Y114,Treatments!$C$7:$J$407,8)</f>
        <v>0</v>
      </c>
      <c r="AC114" s="495">
        <f t="shared" si="58"/>
        <v>0</v>
      </c>
      <c r="AD114" s="496">
        <f t="shared" si="58"/>
        <v>0</v>
      </c>
      <c r="AE114" s="433">
        <f t="shared" si="60"/>
        <v>0</v>
      </c>
      <c r="AF114" s="411">
        <f t="shared" si="48"/>
        <v>0</v>
      </c>
      <c r="AI114" s="447">
        <f t="shared" si="49"/>
        <v>0</v>
      </c>
      <c r="AJ114" s="491" t="str">
        <f>VLOOKUP(AI114,Treatments!$C$7:$J$407,2)</f>
        <v>No treatment</v>
      </c>
      <c r="AK114" s="495">
        <f t="shared" si="50"/>
        <v>0</v>
      </c>
      <c r="AL114" s="433">
        <f>VLOOKUP(AI114,Treatments!$C$7:$J$407,8)</f>
        <v>0</v>
      </c>
      <c r="AM114" s="495">
        <f t="shared" si="51"/>
        <v>0</v>
      </c>
      <c r="AN114" s="498"/>
      <c r="AO114" s="496">
        <f t="shared" si="52"/>
        <v>0</v>
      </c>
      <c r="AP114" s="433">
        <f t="shared" si="53"/>
        <v>0</v>
      </c>
      <c r="AQ114" s="411">
        <f t="shared" si="54"/>
        <v>0</v>
      </c>
      <c r="AR114" s="1"/>
    </row>
    <row r="115" spans="2:44" ht="15.75" x14ac:dyDescent="0.25">
      <c r="B115" s="435"/>
      <c r="C115" s="491" t="str">
        <f>IF(B115&lt;=0,"",VLOOKUP(B115,Treatments!$C$7:$J$407,2))</f>
        <v/>
      </c>
      <c r="D115" s="492"/>
      <c r="E115" s="433">
        <f>VLOOKUP(B115,Treatments!$C$7:$J$407,8)</f>
        <v>0</v>
      </c>
      <c r="F115" s="435"/>
      <c r="G115" s="493"/>
      <c r="H115" s="433">
        <f t="shared" si="59"/>
        <v>0</v>
      </c>
      <c r="I115" s="411">
        <f t="shared" si="55"/>
        <v>0</v>
      </c>
      <c r="L115" s="305"/>
      <c r="M115" s="491" t="str">
        <f>VLOOKUP(L115,Treatments!$C$7:$J$407,2)</f>
        <v>No treatment</v>
      </c>
      <c r="N115" s="306"/>
      <c r="O115" s="433">
        <f>VLOOKUP(L115,Treatments!$C$7:$J$407,8)</f>
        <v>0</v>
      </c>
      <c r="P115" s="305"/>
      <c r="Q115" s="311"/>
      <c r="R115" s="308"/>
      <c r="S115" s="433">
        <f t="shared" si="46"/>
        <v>0</v>
      </c>
      <c r="T115" s="411">
        <f t="shared" si="47"/>
        <v>0</v>
      </c>
      <c r="U115" s="1"/>
      <c r="Y115" s="447">
        <f t="shared" si="56"/>
        <v>0</v>
      </c>
      <c r="Z115" s="491" t="str">
        <f>VLOOKUP(Y115,Treatments!$C$7:$J$407,2)</f>
        <v>No treatment</v>
      </c>
      <c r="AA115" s="495">
        <f t="shared" si="57"/>
        <v>0</v>
      </c>
      <c r="AB115" s="433">
        <f>VLOOKUP(Y115,Treatments!$C$7:$J$407,8)</f>
        <v>0</v>
      </c>
      <c r="AC115" s="495">
        <f t="shared" si="58"/>
        <v>0</v>
      </c>
      <c r="AD115" s="496">
        <f t="shared" si="58"/>
        <v>0</v>
      </c>
      <c r="AE115" s="433">
        <f t="shared" si="60"/>
        <v>0</v>
      </c>
      <c r="AF115" s="411">
        <f t="shared" si="48"/>
        <v>0</v>
      </c>
      <c r="AI115" s="447">
        <f t="shared" si="49"/>
        <v>0</v>
      </c>
      <c r="AJ115" s="491" t="str">
        <f>VLOOKUP(AI115,Treatments!$C$7:$J$407,2)</f>
        <v>No treatment</v>
      </c>
      <c r="AK115" s="495">
        <f t="shared" si="50"/>
        <v>0</v>
      </c>
      <c r="AL115" s="433">
        <f>VLOOKUP(AI115,Treatments!$C$7:$J$407,8)</f>
        <v>0</v>
      </c>
      <c r="AM115" s="495">
        <f t="shared" si="51"/>
        <v>0</v>
      </c>
      <c r="AN115" s="498"/>
      <c r="AO115" s="496">
        <f t="shared" si="52"/>
        <v>0</v>
      </c>
      <c r="AP115" s="433">
        <f t="shared" si="53"/>
        <v>0</v>
      </c>
      <c r="AQ115" s="411">
        <f t="shared" si="54"/>
        <v>0</v>
      </c>
      <c r="AR115" s="1"/>
    </row>
    <row r="116" spans="2:44" ht="15.75" x14ac:dyDescent="0.25">
      <c r="B116" s="435"/>
      <c r="C116" s="491" t="str">
        <f>IF(B116&lt;=0,"",VLOOKUP(B116,Treatments!$C$7:$J$407,2))</f>
        <v/>
      </c>
      <c r="D116" s="492"/>
      <c r="E116" s="433">
        <f>VLOOKUP(B116,Treatments!$C$7:$J$407,8)</f>
        <v>0</v>
      </c>
      <c r="F116" s="435"/>
      <c r="G116" s="493"/>
      <c r="H116" s="433">
        <f t="shared" si="59"/>
        <v>0</v>
      </c>
      <c r="I116" s="411">
        <f t="shared" si="55"/>
        <v>0</v>
      </c>
      <c r="L116" s="193"/>
      <c r="N116" s="193"/>
      <c r="P116" s="193"/>
      <c r="Q116" s="193"/>
      <c r="R116" s="193"/>
      <c r="U116" s="1"/>
      <c r="Y116" s="447">
        <f t="shared" si="56"/>
        <v>0</v>
      </c>
      <c r="Z116" s="491" t="str">
        <f>VLOOKUP(Y116,Treatments!$C$7:$J$407,2)</f>
        <v>No treatment</v>
      </c>
      <c r="AA116" s="495">
        <f t="shared" si="57"/>
        <v>0</v>
      </c>
      <c r="AB116" s="433">
        <f>VLOOKUP(Y116,Treatments!$C$7:$J$407,8)</f>
        <v>0</v>
      </c>
      <c r="AC116" s="495">
        <f t="shared" si="58"/>
        <v>0</v>
      </c>
      <c r="AD116" s="496">
        <f t="shared" si="58"/>
        <v>0</v>
      </c>
      <c r="AE116" s="433">
        <f t="shared" si="60"/>
        <v>0</v>
      </c>
      <c r="AF116" s="411">
        <f t="shared" si="48"/>
        <v>0</v>
      </c>
      <c r="AR116" s="1"/>
    </row>
    <row r="117" spans="2:44" ht="15.75" x14ac:dyDescent="0.25">
      <c r="B117" s="435"/>
      <c r="C117" s="491" t="str">
        <f>IF(B117&lt;=0,"",VLOOKUP(B117,Treatments!$C$7:$J$407,2))</f>
        <v/>
      </c>
      <c r="D117" s="492"/>
      <c r="E117" s="433">
        <f>VLOOKUP(B117,Treatments!$C$7:$J$407,8)</f>
        <v>0</v>
      </c>
      <c r="F117" s="435"/>
      <c r="G117" s="493"/>
      <c r="H117" s="433">
        <f t="shared" si="59"/>
        <v>0</v>
      </c>
      <c r="I117" s="411">
        <f t="shared" si="55"/>
        <v>0</v>
      </c>
      <c r="L117" s="379" t="s">
        <v>994</v>
      </c>
      <c r="M117" s="483" t="s">
        <v>580</v>
      </c>
      <c r="N117" s="381" t="s">
        <v>616</v>
      </c>
      <c r="O117" s="482" t="s">
        <v>619</v>
      </c>
      <c r="P117" s="382" t="s">
        <v>617</v>
      </c>
      <c r="Q117" s="379"/>
      <c r="R117" s="382" t="s">
        <v>618</v>
      </c>
      <c r="S117" s="487"/>
      <c r="T117" s="487"/>
      <c r="U117" s="1"/>
      <c r="Y117" s="447">
        <f t="shared" si="56"/>
        <v>0</v>
      </c>
      <c r="Z117" s="491" t="str">
        <f>VLOOKUP(Y117,Treatments!$C$7:$J$407,2)</f>
        <v>No treatment</v>
      </c>
      <c r="AA117" s="495">
        <f t="shared" si="57"/>
        <v>0</v>
      </c>
      <c r="AB117" s="433">
        <f>VLOOKUP(Y117,Treatments!$C$7:$J$407,8)</f>
        <v>0</v>
      </c>
      <c r="AC117" s="495">
        <f t="shared" si="58"/>
        <v>0</v>
      </c>
      <c r="AD117" s="496">
        <f t="shared" si="58"/>
        <v>0</v>
      </c>
      <c r="AE117" s="433">
        <f t="shared" si="60"/>
        <v>0</v>
      </c>
      <c r="AF117" s="411">
        <f t="shared" si="48"/>
        <v>0</v>
      </c>
      <c r="AI117" s="499" t="s">
        <v>994</v>
      </c>
      <c r="AJ117" s="5" t="s">
        <v>580</v>
      </c>
      <c r="AK117" s="14" t="s">
        <v>616</v>
      </c>
      <c r="AL117" s="6" t="s">
        <v>619</v>
      </c>
      <c r="AM117" s="1" t="s">
        <v>617</v>
      </c>
      <c r="AN117" s="6"/>
      <c r="AO117" s="1" t="s">
        <v>618</v>
      </c>
      <c r="AP117" s="500"/>
      <c r="AQ117" s="62"/>
      <c r="AR117" s="1"/>
    </row>
    <row r="118" spans="2:44" ht="15.75" x14ac:dyDescent="0.25">
      <c r="B118" s="435"/>
      <c r="C118" s="491" t="str">
        <f>IF(B118&lt;=0,"",VLOOKUP(B118,Treatments!$C$7:$J$407,2))</f>
        <v/>
      </c>
      <c r="D118" s="492"/>
      <c r="E118" s="433">
        <f>VLOOKUP(B118,Treatments!$C$7:$J$407,8)</f>
        <v>0</v>
      </c>
      <c r="F118" s="435"/>
      <c r="G118" s="493"/>
      <c r="H118" s="433">
        <f t="shared" si="59"/>
        <v>0</v>
      </c>
      <c r="I118" s="411">
        <f t="shared" si="55"/>
        <v>0</v>
      </c>
      <c r="L118" s="305"/>
      <c r="M118" s="491" t="str">
        <f>VLOOKUP(L118,Treatments!$C$7:$J$407,2)</f>
        <v>No treatment</v>
      </c>
      <c r="N118" s="306"/>
      <c r="O118" s="433">
        <f>VLOOKUP(L118,Treatments!$C$7:$J$407,8)</f>
        <v>0</v>
      </c>
      <c r="P118" s="305"/>
      <c r="Q118" s="307"/>
      <c r="R118" s="308"/>
      <c r="S118" s="433">
        <f>N118*O118*P118*R118</f>
        <v>0</v>
      </c>
      <c r="T118" s="411">
        <f>S118*$D$9</f>
        <v>0</v>
      </c>
      <c r="U118" s="1"/>
      <c r="Y118" s="447">
        <f t="shared" si="56"/>
        <v>0</v>
      </c>
      <c r="Z118" s="491" t="str">
        <f>VLOOKUP(Y118,Treatments!$C$7:$J$407,2)</f>
        <v>No treatment</v>
      </c>
      <c r="AA118" s="495">
        <f t="shared" si="57"/>
        <v>0</v>
      </c>
      <c r="AB118" s="433">
        <f>VLOOKUP(Y118,Treatments!$C$7:$J$407,8)</f>
        <v>0</v>
      </c>
      <c r="AC118" s="495">
        <f t="shared" si="58"/>
        <v>0</v>
      </c>
      <c r="AD118" s="496">
        <f t="shared" si="58"/>
        <v>0</v>
      </c>
      <c r="AE118" s="433">
        <f t="shared" si="60"/>
        <v>0</v>
      </c>
      <c r="AF118" s="411">
        <f t="shared" si="48"/>
        <v>0</v>
      </c>
      <c r="AI118" s="447">
        <f t="shared" ref="AI118:AI129" si="61">IF(AND(L118&gt;=344,L118&lt;=358),L118+15,L118)</f>
        <v>0</v>
      </c>
      <c r="AJ118" s="491" t="str">
        <f>VLOOKUP(AI118,Treatments!$C$7:$J$407,2)</f>
        <v>No treatment</v>
      </c>
      <c r="AK118" s="495">
        <f t="shared" ref="AK118:AK129" si="62">N118</f>
        <v>0</v>
      </c>
      <c r="AL118" s="433">
        <f>VLOOKUP(AI118,Treatments!$C$7:$J$407,8)</f>
        <v>0</v>
      </c>
      <c r="AM118" s="495">
        <f t="shared" ref="AM118:AM129" si="63">P118</f>
        <v>0</v>
      </c>
      <c r="AN118" s="494"/>
      <c r="AO118" s="496">
        <f t="shared" ref="AO118:AO129" si="64">R118</f>
        <v>0</v>
      </c>
      <c r="AP118" s="433">
        <f>AK118*AL118*AM118*AO118</f>
        <v>0</v>
      </c>
      <c r="AQ118" s="411">
        <f t="shared" ref="AQ118:AQ129" si="65">AP118*$D$9</f>
        <v>0</v>
      </c>
      <c r="AR118" s="1"/>
    </row>
    <row r="119" spans="2:44" ht="15.75" x14ac:dyDescent="0.25">
      <c r="B119" s="435"/>
      <c r="C119" s="491" t="str">
        <f>IF(B119&lt;=0,"",VLOOKUP(B119,Treatments!$C$7:$J$407,2))</f>
        <v/>
      </c>
      <c r="D119" s="492"/>
      <c r="E119" s="433">
        <f>VLOOKUP(B119,Treatments!$C$7:$J$407,8)</f>
        <v>0</v>
      </c>
      <c r="F119" s="435"/>
      <c r="G119" s="493"/>
      <c r="H119" s="433">
        <f t="shared" si="59"/>
        <v>0</v>
      </c>
      <c r="I119" s="411">
        <f t="shared" si="55"/>
        <v>0</v>
      </c>
      <c r="L119" s="305"/>
      <c r="M119" s="491" t="str">
        <f>VLOOKUP(L119,Treatments!$C$7:$J$407,2)</f>
        <v>No treatment</v>
      </c>
      <c r="N119" s="306"/>
      <c r="O119" s="433">
        <f>VLOOKUP(L119,Treatments!$C$7:$J$407,8)</f>
        <v>0</v>
      </c>
      <c r="P119" s="305"/>
      <c r="Q119" s="310"/>
      <c r="R119" s="308"/>
      <c r="S119" s="433">
        <f t="shared" ref="S119:S129" si="66">N119*O119*P119*R119</f>
        <v>0</v>
      </c>
      <c r="T119" s="411">
        <f t="shared" ref="T119:T129" si="67">S119*$D$9</f>
        <v>0</v>
      </c>
      <c r="U119" s="1"/>
      <c r="Y119" s="447">
        <f t="shared" si="56"/>
        <v>0</v>
      </c>
      <c r="Z119" s="491" t="str">
        <f>VLOOKUP(Y119,Treatments!$C$7:$J$407,2)</f>
        <v>No treatment</v>
      </c>
      <c r="AA119" s="495">
        <f t="shared" si="57"/>
        <v>0</v>
      </c>
      <c r="AB119" s="433">
        <f>VLOOKUP(Y119,Treatments!$C$7:$J$407,8)</f>
        <v>0</v>
      </c>
      <c r="AC119" s="495">
        <f t="shared" si="58"/>
        <v>0</v>
      </c>
      <c r="AD119" s="496">
        <f t="shared" si="58"/>
        <v>0</v>
      </c>
      <c r="AE119" s="433">
        <f t="shared" si="60"/>
        <v>0</v>
      </c>
      <c r="AF119" s="411">
        <f t="shared" si="48"/>
        <v>0</v>
      </c>
      <c r="AI119" s="447">
        <f t="shared" si="61"/>
        <v>0</v>
      </c>
      <c r="AJ119" s="491" t="str">
        <f>VLOOKUP(AI119,Treatments!$C$7:$J$407,2)</f>
        <v>No treatment</v>
      </c>
      <c r="AK119" s="495">
        <f t="shared" si="62"/>
        <v>0</v>
      </c>
      <c r="AL119" s="433">
        <f>VLOOKUP(AI119,Treatments!$C$7:$J$407,8)</f>
        <v>0</v>
      </c>
      <c r="AM119" s="495">
        <f t="shared" si="63"/>
        <v>0</v>
      </c>
      <c r="AN119" s="160"/>
      <c r="AO119" s="496">
        <f t="shared" si="64"/>
        <v>0</v>
      </c>
      <c r="AP119" s="433">
        <f t="shared" ref="AP119:AP129" si="68">AK119*AL119*AM119*AO119</f>
        <v>0</v>
      </c>
      <c r="AQ119" s="411">
        <f t="shared" si="65"/>
        <v>0</v>
      </c>
      <c r="AR119" s="1"/>
    </row>
    <row r="120" spans="2:44" ht="15.75" x14ac:dyDescent="0.25">
      <c r="B120" s="435"/>
      <c r="C120" s="491" t="str">
        <f>IF(B120&lt;=0,"",VLOOKUP(B120,Treatments!$C$7:$J$407,2))</f>
        <v/>
      </c>
      <c r="D120" s="492"/>
      <c r="E120" s="433">
        <f>VLOOKUP(B120,Treatments!$C$7:$J$407,8)</f>
        <v>0</v>
      </c>
      <c r="F120" s="435"/>
      <c r="G120" s="493"/>
      <c r="H120" s="433">
        <f t="shared" si="59"/>
        <v>0</v>
      </c>
      <c r="I120" s="411">
        <f t="shared" si="55"/>
        <v>0</v>
      </c>
      <c r="L120" s="305"/>
      <c r="M120" s="491" t="str">
        <f>VLOOKUP(L120,Treatments!$C$7:$J$407,2)</f>
        <v>No treatment</v>
      </c>
      <c r="N120" s="306"/>
      <c r="O120" s="433">
        <f>VLOOKUP(L120,Treatments!$C$7:$J$407,8)</f>
        <v>0</v>
      </c>
      <c r="P120" s="305"/>
      <c r="Q120" s="310"/>
      <c r="R120" s="308"/>
      <c r="S120" s="433">
        <f t="shared" si="66"/>
        <v>0</v>
      </c>
      <c r="T120" s="411">
        <f t="shared" si="67"/>
        <v>0</v>
      </c>
      <c r="U120" s="1"/>
      <c r="Y120" s="447">
        <f t="shared" si="56"/>
        <v>0</v>
      </c>
      <c r="Z120" s="491" t="str">
        <f>VLOOKUP(Y120,Treatments!$C$7:$J$407,2)</f>
        <v>No treatment</v>
      </c>
      <c r="AA120" s="495">
        <f t="shared" si="57"/>
        <v>0</v>
      </c>
      <c r="AB120" s="433">
        <f>VLOOKUP(Y120,Treatments!$C$7:$J$407,8)</f>
        <v>0</v>
      </c>
      <c r="AC120" s="495">
        <f t="shared" si="58"/>
        <v>0</v>
      </c>
      <c r="AD120" s="496">
        <f t="shared" si="58"/>
        <v>0</v>
      </c>
      <c r="AE120" s="433">
        <f t="shared" si="60"/>
        <v>0</v>
      </c>
      <c r="AF120" s="411">
        <f t="shared" si="48"/>
        <v>0</v>
      </c>
      <c r="AI120" s="447">
        <f t="shared" si="61"/>
        <v>0</v>
      </c>
      <c r="AJ120" s="491" t="str">
        <f>VLOOKUP(AI120,Treatments!$C$7:$J$407,2)</f>
        <v>No treatment</v>
      </c>
      <c r="AK120" s="495">
        <f t="shared" si="62"/>
        <v>0</v>
      </c>
      <c r="AL120" s="433">
        <f>VLOOKUP(AI120,Treatments!$C$7:$J$407,8)</f>
        <v>0</v>
      </c>
      <c r="AM120" s="495">
        <f t="shared" si="63"/>
        <v>0</v>
      </c>
      <c r="AN120" s="160"/>
      <c r="AO120" s="496">
        <f t="shared" si="64"/>
        <v>0</v>
      </c>
      <c r="AP120" s="433">
        <f t="shared" si="68"/>
        <v>0</v>
      </c>
      <c r="AQ120" s="411">
        <f t="shared" si="65"/>
        <v>0</v>
      </c>
      <c r="AR120" s="1"/>
    </row>
    <row r="121" spans="2:44" ht="15.75" x14ac:dyDescent="0.25">
      <c r="B121" s="435"/>
      <c r="C121" s="491" t="str">
        <f>IF(B121&lt;=0,"",VLOOKUP(B121,Treatments!$C$7:$J$407,2))</f>
        <v/>
      </c>
      <c r="D121" s="492"/>
      <c r="E121" s="433">
        <f>VLOOKUP(B121,Treatments!$C$7:$J$407,8)</f>
        <v>0</v>
      </c>
      <c r="F121" s="435"/>
      <c r="G121" s="493"/>
      <c r="H121" s="433">
        <f t="shared" si="59"/>
        <v>0</v>
      </c>
      <c r="I121" s="411">
        <f t="shared" si="55"/>
        <v>0</v>
      </c>
      <c r="L121" s="305"/>
      <c r="M121" s="491" t="str">
        <f>VLOOKUP(L121,Treatments!$C$7:$J$407,2)</f>
        <v>No treatment</v>
      </c>
      <c r="N121" s="306"/>
      <c r="O121" s="433">
        <f>VLOOKUP(L121,Treatments!$C$7:$J$407,8)</f>
        <v>0</v>
      </c>
      <c r="P121" s="305"/>
      <c r="Q121" s="310"/>
      <c r="R121" s="308"/>
      <c r="S121" s="433">
        <f t="shared" si="66"/>
        <v>0</v>
      </c>
      <c r="T121" s="411">
        <f t="shared" si="67"/>
        <v>0</v>
      </c>
      <c r="U121" s="1"/>
      <c r="Y121" s="447">
        <f t="shared" si="56"/>
        <v>0</v>
      </c>
      <c r="Z121" s="491" t="str">
        <f>VLOOKUP(Y121,Treatments!$C$7:$J$407,2)</f>
        <v>No treatment</v>
      </c>
      <c r="AA121" s="495">
        <f t="shared" si="57"/>
        <v>0</v>
      </c>
      <c r="AB121" s="433">
        <f>VLOOKUP(Y121,Treatments!$C$7:$J$407,8)</f>
        <v>0</v>
      </c>
      <c r="AC121" s="495">
        <f t="shared" si="58"/>
        <v>0</v>
      </c>
      <c r="AD121" s="496">
        <f t="shared" si="58"/>
        <v>0</v>
      </c>
      <c r="AE121" s="433">
        <f t="shared" si="60"/>
        <v>0</v>
      </c>
      <c r="AF121" s="411">
        <f t="shared" si="48"/>
        <v>0</v>
      </c>
      <c r="AI121" s="447">
        <f t="shared" si="61"/>
        <v>0</v>
      </c>
      <c r="AJ121" s="491" t="str">
        <f>VLOOKUP(AI121,Treatments!$C$7:$J$407,2)</f>
        <v>No treatment</v>
      </c>
      <c r="AK121" s="495">
        <f t="shared" si="62"/>
        <v>0</v>
      </c>
      <c r="AL121" s="433">
        <f>VLOOKUP(AI121,Treatments!$C$7:$J$407,8)</f>
        <v>0</v>
      </c>
      <c r="AM121" s="495">
        <f t="shared" si="63"/>
        <v>0</v>
      </c>
      <c r="AN121" s="160"/>
      <c r="AO121" s="496">
        <f t="shared" si="64"/>
        <v>0</v>
      </c>
      <c r="AP121" s="433">
        <f t="shared" si="68"/>
        <v>0</v>
      </c>
      <c r="AQ121" s="411">
        <f t="shared" si="65"/>
        <v>0</v>
      </c>
      <c r="AR121" s="1"/>
    </row>
    <row r="122" spans="2:44" ht="15.75" x14ac:dyDescent="0.25">
      <c r="B122" s="435"/>
      <c r="C122" s="491" t="str">
        <f>IF(B122&lt;=0,"",VLOOKUP(B122,Treatments!$C$7:$J$407,2))</f>
        <v/>
      </c>
      <c r="D122" s="492"/>
      <c r="E122" s="433">
        <f>VLOOKUP(B122,Treatments!$C$7:$J$407,8)</f>
        <v>0</v>
      </c>
      <c r="F122" s="435"/>
      <c r="G122" s="493"/>
      <c r="H122" s="433">
        <f t="shared" si="59"/>
        <v>0</v>
      </c>
      <c r="I122" s="411">
        <f t="shared" si="55"/>
        <v>0</v>
      </c>
      <c r="L122" s="305"/>
      <c r="M122" s="491" t="str">
        <f>VLOOKUP(L122,Treatments!$C$7:$J$407,2)</f>
        <v>No treatment</v>
      </c>
      <c r="N122" s="306"/>
      <c r="O122" s="433">
        <f>VLOOKUP(L122,Treatments!$C$7:$J$407,8)</f>
        <v>0</v>
      </c>
      <c r="P122" s="305"/>
      <c r="Q122" s="310"/>
      <c r="R122" s="308"/>
      <c r="S122" s="433">
        <f t="shared" si="66"/>
        <v>0</v>
      </c>
      <c r="T122" s="411">
        <f t="shared" si="67"/>
        <v>0</v>
      </c>
      <c r="U122" s="1"/>
      <c r="Y122" s="447">
        <f t="shared" si="56"/>
        <v>0</v>
      </c>
      <c r="Z122" s="491" t="str">
        <f>VLOOKUP(Y122,Treatments!$C$7:$J$407,2)</f>
        <v>No treatment</v>
      </c>
      <c r="AA122" s="495">
        <f t="shared" si="57"/>
        <v>0</v>
      </c>
      <c r="AB122" s="433">
        <f>VLOOKUP(Y122,Treatments!$C$7:$J$407,8)</f>
        <v>0</v>
      </c>
      <c r="AC122" s="495">
        <f t="shared" si="58"/>
        <v>0</v>
      </c>
      <c r="AD122" s="496">
        <f t="shared" si="58"/>
        <v>0</v>
      </c>
      <c r="AE122" s="433">
        <f t="shared" si="60"/>
        <v>0</v>
      </c>
      <c r="AF122" s="411">
        <f t="shared" si="48"/>
        <v>0</v>
      </c>
      <c r="AI122" s="447">
        <f t="shared" si="61"/>
        <v>0</v>
      </c>
      <c r="AJ122" s="491" t="str">
        <f>VLOOKUP(AI122,Treatments!$C$7:$J$407,2)</f>
        <v>No treatment</v>
      </c>
      <c r="AK122" s="495">
        <f t="shared" si="62"/>
        <v>0</v>
      </c>
      <c r="AL122" s="433">
        <f>VLOOKUP(AI122,Treatments!$C$7:$J$407,8)</f>
        <v>0</v>
      </c>
      <c r="AM122" s="495">
        <f t="shared" si="63"/>
        <v>0</v>
      </c>
      <c r="AN122" s="160"/>
      <c r="AO122" s="496">
        <f t="shared" si="64"/>
        <v>0</v>
      </c>
      <c r="AP122" s="433">
        <f t="shared" si="68"/>
        <v>0</v>
      </c>
      <c r="AQ122" s="411">
        <f t="shared" si="65"/>
        <v>0</v>
      </c>
      <c r="AR122" s="1"/>
    </row>
    <row r="123" spans="2:44" ht="15.75" x14ac:dyDescent="0.25">
      <c r="B123" s="435"/>
      <c r="C123" s="491" t="str">
        <f>IF(B123&lt;=0,"",VLOOKUP(B123,Treatments!$C$7:$J$407,2))</f>
        <v/>
      </c>
      <c r="D123" s="492"/>
      <c r="E123" s="433">
        <f>VLOOKUP(B123,Treatments!$C$7:$J$407,8)</f>
        <v>0</v>
      </c>
      <c r="F123" s="435"/>
      <c r="G123" s="493"/>
      <c r="H123" s="433">
        <f>D123*E123*F123*G123</f>
        <v>0</v>
      </c>
      <c r="I123" s="411">
        <f t="shared" si="55"/>
        <v>0</v>
      </c>
      <c r="L123" s="305"/>
      <c r="M123" s="491" t="str">
        <f>VLOOKUP(L123,Treatments!$C$7:$J$407,2)</f>
        <v>No treatment</v>
      </c>
      <c r="N123" s="306"/>
      <c r="O123" s="433">
        <f>VLOOKUP(L123,Treatments!$C$7:$J$407,8)</f>
        <v>0</v>
      </c>
      <c r="P123" s="305"/>
      <c r="Q123" s="310"/>
      <c r="R123" s="308"/>
      <c r="S123" s="433">
        <f t="shared" si="66"/>
        <v>0</v>
      </c>
      <c r="T123" s="411">
        <f t="shared" si="67"/>
        <v>0</v>
      </c>
      <c r="U123" s="1"/>
      <c r="Y123" s="447">
        <f t="shared" si="56"/>
        <v>0</v>
      </c>
      <c r="Z123" s="491" t="str">
        <f>VLOOKUP(Y123,Treatments!$C$7:$J$407,2)</f>
        <v>No treatment</v>
      </c>
      <c r="AA123" s="495">
        <f t="shared" si="57"/>
        <v>0</v>
      </c>
      <c r="AB123" s="433">
        <f>VLOOKUP(Y123,Treatments!$C$7:$J$407,8)</f>
        <v>0</v>
      </c>
      <c r="AC123" s="495">
        <f t="shared" si="58"/>
        <v>0</v>
      </c>
      <c r="AD123" s="496">
        <f t="shared" si="58"/>
        <v>0</v>
      </c>
      <c r="AE123" s="433">
        <f>AA123*AB123*AC123*AD123</f>
        <v>0</v>
      </c>
      <c r="AF123" s="411">
        <f t="shared" si="48"/>
        <v>0</v>
      </c>
      <c r="AI123" s="447">
        <f t="shared" si="61"/>
        <v>0</v>
      </c>
      <c r="AJ123" s="491" t="str">
        <f>VLOOKUP(AI123,Treatments!$C$7:$J$407,2)</f>
        <v>No treatment</v>
      </c>
      <c r="AK123" s="495">
        <f t="shared" si="62"/>
        <v>0</v>
      </c>
      <c r="AL123" s="433">
        <f>VLOOKUP(AI123,Treatments!$C$7:$J$407,8)</f>
        <v>0</v>
      </c>
      <c r="AM123" s="495">
        <f t="shared" si="63"/>
        <v>0</v>
      </c>
      <c r="AN123" s="160"/>
      <c r="AO123" s="496">
        <f t="shared" si="64"/>
        <v>0</v>
      </c>
      <c r="AP123" s="433">
        <f t="shared" si="68"/>
        <v>0</v>
      </c>
      <c r="AQ123" s="411">
        <f t="shared" si="65"/>
        <v>0</v>
      </c>
      <c r="AR123" s="1"/>
    </row>
    <row r="124" spans="2:44" ht="15.75" x14ac:dyDescent="0.25">
      <c r="B124" s="435"/>
      <c r="C124" s="491" t="str">
        <f>IF(B124&lt;=0,"",VLOOKUP(B124,Treatments!$C$7:$J$407,2))</f>
        <v/>
      </c>
      <c r="D124" s="492"/>
      <c r="E124" s="433">
        <f>VLOOKUP(B124,Treatments!$C$7:$J$407,8)</f>
        <v>0</v>
      </c>
      <c r="F124" s="435"/>
      <c r="G124" s="493"/>
      <c r="H124" s="433">
        <f>D124*E124*F124*G124</f>
        <v>0</v>
      </c>
      <c r="I124" s="411">
        <f t="shared" si="55"/>
        <v>0</v>
      </c>
      <c r="L124" s="305"/>
      <c r="M124" s="491" t="str">
        <f>VLOOKUP(L124,Treatments!$C$7:$J$407,2)</f>
        <v>No treatment</v>
      </c>
      <c r="N124" s="306"/>
      <c r="O124" s="433">
        <f>VLOOKUP(L124,Treatments!$C$7:$J$407,8)</f>
        <v>0</v>
      </c>
      <c r="P124" s="305"/>
      <c r="Q124" s="310"/>
      <c r="R124" s="308"/>
      <c r="S124" s="433">
        <f t="shared" si="66"/>
        <v>0</v>
      </c>
      <c r="T124" s="411">
        <f t="shared" si="67"/>
        <v>0</v>
      </c>
      <c r="U124" s="1"/>
      <c r="Y124" s="447">
        <f t="shared" si="56"/>
        <v>0</v>
      </c>
      <c r="Z124" s="491" t="str">
        <f>VLOOKUP(Y124,Treatments!$C$7:$J$407,2)</f>
        <v>No treatment</v>
      </c>
      <c r="AA124" s="495">
        <f t="shared" si="57"/>
        <v>0</v>
      </c>
      <c r="AB124" s="433">
        <f>VLOOKUP(Y124,Treatments!$C$7:$J$407,8)</f>
        <v>0</v>
      </c>
      <c r="AC124" s="495">
        <f t="shared" si="58"/>
        <v>0</v>
      </c>
      <c r="AD124" s="496">
        <f t="shared" si="58"/>
        <v>0</v>
      </c>
      <c r="AE124" s="433">
        <f>AA124*AB124*AC124*AD124</f>
        <v>0</v>
      </c>
      <c r="AF124" s="411">
        <f t="shared" si="48"/>
        <v>0</v>
      </c>
      <c r="AI124" s="447">
        <f t="shared" si="61"/>
        <v>0</v>
      </c>
      <c r="AJ124" s="491" t="str">
        <f>VLOOKUP(AI124,Treatments!$C$7:$J$407,2)</f>
        <v>No treatment</v>
      </c>
      <c r="AK124" s="495">
        <f t="shared" si="62"/>
        <v>0</v>
      </c>
      <c r="AL124" s="433">
        <f>VLOOKUP(AI124,Treatments!$C$7:$J$407,8)</f>
        <v>0</v>
      </c>
      <c r="AM124" s="495">
        <f t="shared" si="63"/>
        <v>0</v>
      </c>
      <c r="AN124" s="160"/>
      <c r="AO124" s="496">
        <f t="shared" si="64"/>
        <v>0</v>
      </c>
      <c r="AP124" s="433">
        <f t="shared" si="68"/>
        <v>0</v>
      </c>
      <c r="AQ124" s="411">
        <f t="shared" si="65"/>
        <v>0</v>
      </c>
      <c r="AR124" s="1"/>
    </row>
    <row r="125" spans="2:44" ht="15.75" x14ac:dyDescent="0.25">
      <c r="B125" s="1"/>
      <c r="C125" s="1"/>
      <c r="D125" s="1"/>
      <c r="E125" s="1"/>
      <c r="F125" s="1"/>
      <c r="G125" s="6"/>
      <c r="H125" s="1"/>
      <c r="I125" s="1"/>
      <c r="L125" s="305"/>
      <c r="M125" s="491" t="str">
        <f>VLOOKUP(L125,Treatments!$C$7:$J$407,2)</f>
        <v>No treatment</v>
      </c>
      <c r="N125" s="306"/>
      <c r="O125" s="433">
        <f>VLOOKUP(L125,Treatments!$C$7:$J$407,8)</f>
        <v>0</v>
      </c>
      <c r="P125" s="305"/>
      <c r="Q125" s="310"/>
      <c r="R125" s="308"/>
      <c r="S125" s="433">
        <f t="shared" si="66"/>
        <v>0</v>
      </c>
      <c r="T125" s="411">
        <f t="shared" si="67"/>
        <v>0</v>
      </c>
      <c r="U125" s="1"/>
      <c r="Y125" s="1"/>
      <c r="Z125" s="1"/>
      <c r="AA125" s="6"/>
      <c r="AB125" s="6"/>
      <c r="AC125" s="6"/>
      <c r="AD125" s="6"/>
      <c r="AE125" s="6"/>
      <c r="AF125" s="6"/>
      <c r="AI125" s="447">
        <f t="shared" si="61"/>
        <v>0</v>
      </c>
      <c r="AJ125" s="491" t="str">
        <f>VLOOKUP(AI125,Treatments!$C$7:$J$407,2)</f>
        <v>No treatment</v>
      </c>
      <c r="AK125" s="495">
        <f t="shared" si="62"/>
        <v>0</v>
      </c>
      <c r="AL125" s="433">
        <f>VLOOKUP(AI125,Treatments!$C$7:$J$407,8)</f>
        <v>0</v>
      </c>
      <c r="AM125" s="495">
        <f t="shared" si="63"/>
        <v>0</v>
      </c>
      <c r="AN125" s="160"/>
      <c r="AO125" s="496">
        <f t="shared" si="64"/>
        <v>0</v>
      </c>
      <c r="AP125" s="433">
        <f t="shared" si="68"/>
        <v>0</v>
      </c>
      <c r="AQ125" s="411">
        <f t="shared" si="65"/>
        <v>0</v>
      </c>
      <c r="AR125" s="1"/>
    </row>
    <row r="126" spans="2:44" ht="15.75" x14ac:dyDescent="0.25">
      <c r="B126" s="501" t="s">
        <v>994</v>
      </c>
      <c r="C126" s="502" t="s">
        <v>580</v>
      </c>
      <c r="D126" s="503" t="s">
        <v>616</v>
      </c>
      <c r="E126" s="501" t="s">
        <v>619</v>
      </c>
      <c r="F126" s="504" t="s">
        <v>617</v>
      </c>
      <c r="G126" s="504" t="s">
        <v>618</v>
      </c>
      <c r="H126" s="505"/>
      <c r="I126" s="506"/>
      <c r="L126" s="305"/>
      <c r="M126" s="491" t="str">
        <f>VLOOKUP(L126,Treatments!$C$7:$J$407,2)</f>
        <v>No treatment</v>
      </c>
      <c r="N126" s="306"/>
      <c r="O126" s="433">
        <f>VLOOKUP(L126,Treatments!$C$7:$J$407,8)</f>
        <v>0</v>
      </c>
      <c r="P126" s="305"/>
      <c r="Q126" s="310"/>
      <c r="R126" s="308"/>
      <c r="S126" s="433">
        <f t="shared" si="66"/>
        <v>0</v>
      </c>
      <c r="T126" s="411">
        <f t="shared" si="67"/>
        <v>0</v>
      </c>
      <c r="U126" s="1"/>
      <c r="Y126" s="6" t="s">
        <v>994</v>
      </c>
      <c r="Z126" s="5" t="s">
        <v>580</v>
      </c>
      <c r="AA126" s="6" t="s">
        <v>616</v>
      </c>
      <c r="AB126" s="6" t="s">
        <v>619</v>
      </c>
      <c r="AC126" s="6" t="s">
        <v>617</v>
      </c>
      <c r="AD126" s="6" t="s">
        <v>618</v>
      </c>
      <c r="AE126" s="507"/>
      <c r="AF126" s="508"/>
      <c r="AI126" s="447">
        <f t="shared" si="61"/>
        <v>0</v>
      </c>
      <c r="AJ126" s="491" t="str">
        <f>VLOOKUP(AI126,Treatments!$C$7:$J$407,2)</f>
        <v>No treatment</v>
      </c>
      <c r="AK126" s="495">
        <f t="shared" si="62"/>
        <v>0</v>
      </c>
      <c r="AL126" s="433">
        <f>VLOOKUP(AI126,Treatments!$C$7:$J$407,8)</f>
        <v>0</v>
      </c>
      <c r="AM126" s="495">
        <f t="shared" si="63"/>
        <v>0</v>
      </c>
      <c r="AN126" s="160"/>
      <c r="AO126" s="496">
        <f t="shared" si="64"/>
        <v>0</v>
      </c>
      <c r="AP126" s="433">
        <f t="shared" si="68"/>
        <v>0</v>
      </c>
      <c r="AQ126" s="411">
        <f t="shared" si="65"/>
        <v>0</v>
      </c>
      <c r="AR126" s="1"/>
    </row>
    <row r="127" spans="2:44" ht="15.75" x14ac:dyDescent="0.25">
      <c r="B127" s="435"/>
      <c r="C127" s="491" t="str">
        <f>IF(B127&lt;=0,"",VLOOKUP(B127,Treatments!$C$7:$J$407,2))</f>
        <v/>
      </c>
      <c r="D127" s="492"/>
      <c r="E127" s="433">
        <f>VLOOKUP(B127,Treatments!$C$7:$J$407,8)</f>
        <v>0</v>
      </c>
      <c r="F127" s="435"/>
      <c r="G127" s="493"/>
      <c r="H127" s="433">
        <f t="shared" ref="H127:H138" si="69">D127*E127*F127*G127</f>
        <v>0</v>
      </c>
      <c r="I127" s="411">
        <f>H127*$D$9</f>
        <v>0</v>
      </c>
      <c r="L127" s="305"/>
      <c r="M127" s="491" t="str">
        <f>VLOOKUP(L127,Treatments!$C$7:$J$407,2)</f>
        <v>No treatment</v>
      </c>
      <c r="N127" s="306"/>
      <c r="O127" s="433">
        <f>VLOOKUP(L127,Treatments!$C$7:$J$407,8)</f>
        <v>0</v>
      </c>
      <c r="P127" s="305"/>
      <c r="Q127" s="310"/>
      <c r="R127" s="308"/>
      <c r="S127" s="433">
        <f t="shared" si="66"/>
        <v>0</v>
      </c>
      <c r="T127" s="411">
        <f t="shared" si="67"/>
        <v>0</v>
      </c>
      <c r="U127" s="1"/>
      <c r="Y127" s="447">
        <f>IF(AND(B127&gt;=344,B127&lt;=358),B127+15,B127)</f>
        <v>0</v>
      </c>
      <c r="Z127" s="491" t="str">
        <f>VLOOKUP(Y127,Treatments!$C$7:$J$407,2)</f>
        <v>No treatment</v>
      </c>
      <c r="AA127" s="495">
        <f t="shared" ref="AA127:AA138" si="70">D127</f>
        <v>0</v>
      </c>
      <c r="AB127" s="433">
        <f>VLOOKUP(Y127,Treatments!$C$7:$J$407,8)</f>
        <v>0</v>
      </c>
      <c r="AC127" s="495">
        <f t="shared" ref="AC127:AD138" si="71">F127</f>
        <v>0</v>
      </c>
      <c r="AD127" s="496">
        <f t="shared" si="71"/>
        <v>0</v>
      </c>
      <c r="AE127" s="433">
        <f t="shared" ref="AE127:AE138" si="72">AA127*AB127*AC127*AD127</f>
        <v>0</v>
      </c>
      <c r="AF127" s="411">
        <f t="shared" ref="AF127:AF138" si="73">AE127*$D$9</f>
        <v>0</v>
      </c>
      <c r="AI127" s="447">
        <f t="shared" si="61"/>
        <v>0</v>
      </c>
      <c r="AJ127" s="491" t="str">
        <f>VLOOKUP(AI127,Treatments!$C$7:$J$407,2)</f>
        <v>No treatment</v>
      </c>
      <c r="AK127" s="495">
        <f t="shared" si="62"/>
        <v>0</v>
      </c>
      <c r="AL127" s="433">
        <f>VLOOKUP(AI127,Treatments!$C$7:$J$407,8)</f>
        <v>0</v>
      </c>
      <c r="AM127" s="495">
        <f t="shared" si="63"/>
        <v>0</v>
      </c>
      <c r="AN127" s="160"/>
      <c r="AO127" s="496">
        <f t="shared" si="64"/>
        <v>0</v>
      </c>
      <c r="AP127" s="433">
        <f t="shared" si="68"/>
        <v>0</v>
      </c>
      <c r="AQ127" s="411">
        <f t="shared" si="65"/>
        <v>0</v>
      </c>
      <c r="AR127" s="1"/>
    </row>
    <row r="128" spans="2:44" ht="15.75" x14ac:dyDescent="0.25">
      <c r="B128" s="435"/>
      <c r="C128" s="491" t="str">
        <f>IF(B128&lt;=0,"",VLOOKUP(B128,Treatments!$C$7:$J$407,2))</f>
        <v/>
      </c>
      <c r="D128" s="492"/>
      <c r="E128" s="433">
        <f>VLOOKUP(B128,Treatments!$C$7:$J$407,8)</f>
        <v>0</v>
      </c>
      <c r="F128" s="435"/>
      <c r="G128" s="493"/>
      <c r="H128" s="433">
        <f t="shared" si="69"/>
        <v>0</v>
      </c>
      <c r="I128" s="411">
        <f t="shared" ref="I128:I138" si="74">H128*$D$9</f>
        <v>0</v>
      </c>
      <c r="L128" s="305"/>
      <c r="M128" s="491" t="str">
        <f>VLOOKUP(L128,Treatments!$C$7:$J$407,2)</f>
        <v>No treatment</v>
      </c>
      <c r="N128" s="306"/>
      <c r="O128" s="433">
        <f>VLOOKUP(L128,Treatments!$C$7:$J$407,8)</f>
        <v>0</v>
      </c>
      <c r="P128" s="305"/>
      <c r="Q128" s="310"/>
      <c r="R128" s="308"/>
      <c r="S128" s="433">
        <f t="shared" si="66"/>
        <v>0</v>
      </c>
      <c r="T128" s="411">
        <f t="shared" si="67"/>
        <v>0</v>
      </c>
      <c r="U128" s="1"/>
      <c r="Y128" s="447">
        <f t="shared" ref="Y128:Y138" si="75">IF(AND(B128&gt;=344,B128&lt;=358),B128+15,B128)</f>
        <v>0</v>
      </c>
      <c r="Z128" s="491" t="str">
        <f>VLOOKUP(Y128,Treatments!$C$7:$J$407,2)</f>
        <v>No treatment</v>
      </c>
      <c r="AA128" s="495">
        <f t="shared" si="70"/>
        <v>0</v>
      </c>
      <c r="AB128" s="433">
        <f>VLOOKUP(Y128,Treatments!$C$7:$J$407,8)</f>
        <v>0</v>
      </c>
      <c r="AC128" s="495">
        <f t="shared" si="71"/>
        <v>0</v>
      </c>
      <c r="AD128" s="496">
        <f t="shared" si="71"/>
        <v>0</v>
      </c>
      <c r="AE128" s="433">
        <f t="shared" si="72"/>
        <v>0</v>
      </c>
      <c r="AF128" s="411">
        <f t="shared" si="73"/>
        <v>0</v>
      </c>
      <c r="AI128" s="447">
        <f t="shared" si="61"/>
        <v>0</v>
      </c>
      <c r="AJ128" s="491" t="str">
        <f>VLOOKUP(AI128,Treatments!$C$7:$J$407,2)</f>
        <v>No treatment</v>
      </c>
      <c r="AK128" s="495">
        <f t="shared" si="62"/>
        <v>0</v>
      </c>
      <c r="AL128" s="433">
        <f>VLOOKUP(AI128,Treatments!$C$7:$J$407,8)</f>
        <v>0</v>
      </c>
      <c r="AM128" s="495">
        <f t="shared" si="63"/>
        <v>0</v>
      </c>
      <c r="AN128" s="160"/>
      <c r="AO128" s="496">
        <f t="shared" si="64"/>
        <v>0</v>
      </c>
      <c r="AP128" s="433">
        <f t="shared" si="68"/>
        <v>0</v>
      </c>
      <c r="AQ128" s="411">
        <f t="shared" si="65"/>
        <v>0</v>
      </c>
      <c r="AR128" s="1"/>
    </row>
    <row r="129" spans="2:44" ht="15.75" x14ac:dyDescent="0.25">
      <c r="B129" s="435"/>
      <c r="C129" s="491" t="str">
        <f>IF(B129&lt;=0,"",VLOOKUP(B129,Treatments!$C$7:$J$407,2))</f>
        <v/>
      </c>
      <c r="D129" s="492"/>
      <c r="E129" s="433">
        <f>VLOOKUP(B129,Treatments!$C$7:$J$407,8)</f>
        <v>0</v>
      </c>
      <c r="F129" s="435"/>
      <c r="G129" s="493"/>
      <c r="H129" s="433">
        <f t="shared" si="69"/>
        <v>0</v>
      </c>
      <c r="I129" s="411">
        <f t="shared" si="74"/>
        <v>0</v>
      </c>
      <c r="L129" s="305"/>
      <c r="M129" s="491" t="str">
        <f>VLOOKUP(L129,Treatments!$C$7:$J$407,2)</f>
        <v>No treatment</v>
      </c>
      <c r="N129" s="306"/>
      <c r="O129" s="433">
        <f>VLOOKUP(L129,Treatments!$C$7:$J$407,8)</f>
        <v>0</v>
      </c>
      <c r="P129" s="305"/>
      <c r="Q129" s="311"/>
      <c r="R129" s="308"/>
      <c r="S129" s="433">
        <f t="shared" si="66"/>
        <v>0</v>
      </c>
      <c r="T129" s="411">
        <f t="shared" si="67"/>
        <v>0</v>
      </c>
      <c r="U129" s="1"/>
      <c r="Y129" s="447">
        <f t="shared" si="75"/>
        <v>0</v>
      </c>
      <c r="Z129" s="491" t="str">
        <f>VLOOKUP(Y129,Treatments!$C$7:$J$407,2)</f>
        <v>No treatment</v>
      </c>
      <c r="AA129" s="495">
        <f t="shared" si="70"/>
        <v>0</v>
      </c>
      <c r="AB129" s="433">
        <f>VLOOKUP(Y129,Treatments!$C$7:$J$407,8)</f>
        <v>0</v>
      </c>
      <c r="AC129" s="495">
        <f t="shared" si="71"/>
        <v>0</v>
      </c>
      <c r="AD129" s="496">
        <f t="shared" si="71"/>
        <v>0</v>
      </c>
      <c r="AE129" s="433">
        <f t="shared" si="72"/>
        <v>0</v>
      </c>
      <c r="AF129" s="411">
        <f t="shared" si="73"/>
        <v>0</v>
      </c>
      <c r="AI129" s="447">
        <f t="shared" si="61"/>
        <v>0</v>
      </c>
      <c r="AJ129" s="491" t="str">
        <f>VLOOKUP(AI129,Treatments!$C$7:$J$407,2)</f>
        <v>No treatment</v>
      </c>
      <c r="AK129" s="495">
        <f t="shared" si="62"/>
        <v>0</v>
      </c>
      <c r="AL129" s="433">
        <f>VLOOKUP(AI129,Treatments!$C$7:$J$407,8)</f>
        <v>0</v>
      </c>
      <c r="AM129" s="495">
        <f t="shared" si="63"/>
        <v>0</v>
      </c>
      <c r="AN129" s="498"/>
      <c r="AO129" s="496">
        <f t="shared" si="64"/>
        <v>0</v>
      </c>
      <c r="AP129" s="433">
        <f t="shared" si="68"/>
        <v>0</v>
      </c>
      <c r="AQ129" s="411">
        <f t="shared" si="65"/>
        <v>0</v>
      </c>
      <c r="AR129" s="1"/>
    </row>
    <row r="130" spans="2:44" ht="15.75" x14ac:dyDescent="0.25">
      <c r="B130" s="435"/>
      <c r="C130" s="491" t="str">
        <f>IF(B130&lt;=0,"",VLOOKUP(B130,Treatments!$C$7:$J$407,2))</f>
        <v/>
      </c>
      <c r="D130" s="492"/>
      <c r="E130" s="433">
        <f>VLOOKUP(B130,Treatments!$C$7:$J$407,8)</f>
        <v>0</v>
      </c>
      <c r="F130" s="435"/>
      <c r="G130" s="493"/>
      <c r="H130" s="433">
        <f t="shared" si="69"/>
        <v>0</v>
      </c>
      <c r="I130" s="411">
        <f t="shared" si="74"/>
        <v>0</v>
      </c>
      <c r="L130" s="304"/>
      <c r="M130" s="1"/>
      <c r="N130" s="304"/>
      <c r="O130" s="1"/>
      <c r="P130" s="304"/>
      <c r="Q130" s="304"/>
      <c r="R130" s="312"/>
      <c r="S130" s="1"/>
      <c r="T130" s="1"/>
      <c r="U130" s="1"/>
      <c r="Y130" s="447">
        <f t="shared" si="75"/>
        <v>0</v>
      </c>
      <c r="Z130" s="491" t="str">
        <f>VLOOKUP(Y130,Treatments!$C$7:$J$407,2)</f>
        <v>No treatment</v>
      </c>
      <c r="AA130" s="495">
        <f t="shared" si="70"/>
        <v>0</v>
      </c>
      <c r="AB130" s="433">
        <f>VLOOKUP(Y130,Treatments!$C$7:$J$407,8)</f>
        <v>0</v>
      </c>
      <c r="AC130" s="495">
        <f t="shared" si="71"/>
        <v>0</v>
      </c>
      <c r="AD130" s="496">
        <f t="shared" si="71"/>
        <v>0</v>
      </c>
      <c r="AE130" s="433">
        <f t="shared" si="72"/>
        <v>0</v>
      </c>
      <c r="AF130" s="411">
        <f t="shared" si="73"/>
        <v>0</v>
      </c>
      <c r="AI130" s="509"/>
      <c r="AJ130" s="1"/>
      <c r="AK130" s="1"/>
      <c r="AL130" s="1"/>
      <c r="AM130" s="1"/>
      <c r="AN130" s="1"/>
      <c r="AO130" s="6"/>
      <c r="AP130" s="1"/>
      <c r="AQ130" s="1"/>
      <c r="AR130" s="1"/>
    </row>
    <row r="131" spans="2:44" ht="15.75" x14ac:dyDescent="0.25">
      <c r="B131" s="435"/>
      <c r="C131" s="491" t="str">
        <f>IF(B131&lt;=0,"",VLOOKUP(B131,Treatments!$C$7:$J$407,2))</f>
        <v/>
      </c>
      <c r="D131" s="492"/>
      <c r="E131" s="433">
        <f>VLOOKUP(B131,Treatments!$C$7:$J$407,8)</f>
        <v>0</v>
      </c>
      <c r="F131" s="435"/>
      <c r="G131" s="493"/>
      <c r="H131" s="433">
        <f t="shared" si="69"/>
        <v>0</v>
      </c>
      <c r="I131" s="411">
        <f t="shared" si="74"/>
        <v>0</v>
      </c>
      <c r="L131" s="379" t="s">
        <v>994</v>
      </c>
      <c r="M131" s="483" t="s">
        <v>581</v>
      </c>
      <c r="N131" s="381" t="s">
        <v>616</v>
      </c>
      <c r="O131" s="482" t="s">
        <v>619</v>
      </c>
      <c r="P131" s="382" t="s">
        <v>617</v>
      </c>
      <c r="Q131" s="379"/>
      <c r="R131" s="382" t="s">
        <v>618</v>
      </c>
      <c r="S131" s="487"/>
      <c r="T131" s="487"/>
      <c r="U131" s="1"/>
      <c r="Y131" s="447">
        <f t="shared" si="75"/>
        <v>0</v>
      </c>
      <c r="Z131" s="491" t="str">
        <f>VLOOKUP(Y131,Treatments!$C$7:$J$407,2)</f>
        <v>No treatment</v>
      </c>
      <c r="AA131" s="495">
        <f t="shared" si="70"/>
        <v>0</v>
      </c>
      <c r="AB131" s="433">
        <f>VLOOKUP(Y131,Treatments!$C$7:$J$407,8)</f>
        <v>0</v>
      </c>
      <c r="AC131" s="495">
        <f t="shared" si="71"/>
        <v>0</v>
      </c>
      <c r="AD131" s="496">
        <f t="shared" si="71"/>
        <v>0</v>
      </c>
      <c r="AE131" s="433">
        <f t="shared" si="72"/>
        <v>0</v>
      </c>
      <c r="AF131" s="411">
        <f t="shared" si="73"/>
        <v>0</v>
      </c>
      <c r="AI131" s="499" t="s">
        <v>994</v>
      </c>
      <c r="AJ131" s="5" t="s">
        <v>581</v>
      </c>
      <c r="AK131" s="14" t="s">
        <v>616</v>
      </c>
      <c r="AL131" s="6" t="s">
        <v>619</v>
      </c>
      <c r="AM131" s="1" t="s">
        <v>617</v>
      </c>
      <c r="AN131" s="6"/>
      <c r="AO131" s="1" t="s">
        <v>618</v>
      </c>
      <c r="AP131" s="500"/>
      <c r="AQ131" s="62"/>
      <c r="AR131" s="1"/>
    </row>
    <row r="132" spans="2:44" ht="15.75" x14ac:dyDescent="0.25">
      <c r="B132" s="435"/>
      <c r="C132" s="491" t="str">
        <f>IF(B132&lt;=0,"",VLOOKUP(B132,Treatments!$C$7:$J$407,2))</f>
        <v/>
      </c>
      <c r="D132" s="492"/>
      <c r="E132" s="433">
        <f>VLOOKUP(B132,Treatments!$C$7:$J$407,8)</f>
        <v>0</v>
      </c>
      <c r="F132" s="435"/>
      <c r="G132" s="493"/>
      <c r="H132" s="433">
        <f t="shared" si="69"/>
        <v>0</v>
      </c>
      <c r="I132" s="411">
        <f t="shared" si="74"/>
        <v>0</v>
      </c>
      <c r="L132" s="305"/>
      <c r="M132" s="491" t="str">
        <f>VLOOKUP(L132,Treatments!$C$7:$J$407,2)</f>
        <v>No treatment</v>
      </c>
      <c r="N132" s="306"/>
      <c r="O132" s="433">
        <f>VLOOKUP(L132,Treatments!$C$7:$J$407,8)</f>
        <v>0</v>
      </c>
      <c r="P132" s="305"/>
      <c r="Q132" s="307"/>
      <c r="R132" s="308"/>
      <c r="S132" s="433">
        <f t="shared" ref="S132:S137" si="76">N132*O132*P132*R132</f>
        <v>0</v>
      </c>
      <c r="T132" s="411">
        <f t="shared" ref="T132:T138" si="77">S132*$D$9</f>
        <v>0</v>
      </c>
      <c r="U132" s="1"/>
      <c r="Y132" s="447">
        <f t="shared" si="75"/>
        <v>0</v>
      </c>
      <c r="Z132" s="491" t="str">
        <f>VLOOKUP(Y132,Treatments!$C$7:$J$407,2)</f>
        <v>No treatment</v>
      </c>
      <c r="AA132" s="495">
        <f t="shared" si="70"/>
        <v>0</v>
      </c>
      <c r="AB132" s="433">
        <f>VLOOKUP(Y132,Treatments!$C$7:$J$407,8)</f>
        <v>0</v>
      </c>
      <c r="AC132" s="495">
        <f t="shared" si="71"/>
        <v>0</v>
      </c>
      <c r="AD132" s="496">
        <f t="shared" si="71"/>
        <v>0</v>
      </c>
      <c r="AE132" s="433">
        <f t="shared" si="72"/>
        <v>0</v>
      </c>
      <c r="AF132" s="411">
        <f t="shared" si="73"/>
        <v>0</v>
      </c>
      <c r="AI132" s="447">
        <f t="shared" ref="AI132:AI137" si="78">IF(AND(L132&gt;=344,L132&lt;=358),L132+15,L132)</f>
        <v>0</v>
      </c>
      <c r="AJ132" s="491" t="str">
        <f>VLOOKUP(AI132,Treatments!$C$7:$J$407,2)</f>
        <v>No treatment</v>
      </c>
      <c r="AK132" s="495">
        <f t="shared" ref="AK132:AK137" si="79">N132</f>
        <v>0</v>
      </c>
      <c r="AL132" s="433">
        <f>VLOOKUP(AI132,Treatments!$C$7:$J$407,8)</f>
        <v>0</v>
      </c>
      <c r="AM132" s="495">
        <f t="shared" ref="AM132:AM137" si="80">P132</f>
        <v>0</v>
      </c>
      <c r="AN132" s="494"/>
      <c r="AO132" s="496">
        <f t="shared" ref="AO132:AO137" si="81">R132</f>
        <v>0</v>
      </c>
      <c r="AP132" s="433">
        <f t="shared" ref="AP132:AP137" si="82">AK132*AL132*AM132*AO132</f>
        <v>0</v>
      </c>
      <c r="AQ132" s="411">
        <f t="shared" ref="AQ132:AQ137" si="83">AP132*$D$9</f>
        <v>0</v>
      </c>
      <c r="AR132" s="1"/>
    </row>
    <row r="133" spans="2:44" ht="15.75" x14ac:dyDescent="0.25">
      <c r="B133" s="435"/>
      <c r="C133" s="491" t="str">
        <f>IF(B133&lt;=0,"",VLOOKUP(B133,Treatments!$C$7:$J$407,2))</f>
        <v/>
      </c>
      <c r="D133" s="492"/>
      <c r="E133" s="433">
        <f>VLOOKUP(B133,Treatments!$C$7:$J$407,8)</f>
        <v>0</v>
      </c>
      <c r="F133" s="435"/>
      <c r="G133" s="493"/>
      <c r="H133" s="433">
        <f t="shared" si="69"/>
        <v>0</v>
      </c>
      <c r="I133" s="411">
        <f t="shared" si="74"/>
        <v>0</v>
      </c>
      <c r="L133" s="305"/>
      <c r="M133" s="491" t="str">
        <f>VLOOKUP(L133,Treatments!$C$7:$J$407,2)</f>
        <v>No treatment</v>
      </c>
      <c r="N133" s="306"/>
      <c r="O133" s="433">
        <f>VLOOKUP(L133,Treatments!$C$7:$J$407,8)</f>
        <v>0</v>
      </c>
      <c r="P133" s="305"/>
      <c r="Q133" s="310"/>
      <c r="R133" s="308"/>
      <c r="S133" s="433">
        <f t="shared" si="76"/>
        <v>0</v>
      </c>
      <c r="T133" s="411">
        <f t="shared" si="77"/>
        <v>0</v>
      </c>
      <c r="U133" s="1"/>
      <c r="Y133" s="447">
        <f t="shared" si="75"/>
        <v>0</v>
      </c>
      <c r="Z133" s="491" t="str">
        <f>VLOOKUP(Y133,Treatments!$C$7:$J$407,2)</f>
        <v>No treatment</v>
      </c>
      <c r="AA133" s="495">
        <f t="shared" si="70"/>
        <v>0</v>
      </c>
      <c r="AB133" s="433">
        <f>VLOOKUP(Y133,Treatments!$C$7:$J$407,8)</f>
        <v>0</v>
      </c>
      <c r="AC133" s="495">
        <f t="shared" si="71"/>
        <v>0</v>
      </c>
      <c r="AD133" s="496">
        <f t="shared" si="71"/>
        <v>0</v>
      </c>
      <c r="AE133" s="433">
        <f t="shared" si="72"/>
        <v>0</v>
      </c>
      <c r="AF133" s="411">
        <f t="shared" si="73"/>
        <v>0</v>
      </c>
      <c r="AI133" s="447">
        <f t="shared" si="78"/>
        <v>0</v>
      </c>
      <c r="AJ133" s="491" t="str">
        <f>VLOOKUP(AI133,Treatments!$C$7:$J$407,2)</f>
        <v>No treatment</v>
      </c>
      <c r="AK133" s="495">
        <f t="shared" si="79"/>
        <v>0</v>
      </c>
      <c r="AL133" s="433">
        <f>VLOOKUP(AI133,Treatments!$C$7:$J$407,8)</f>
        <v>0</v>
      </c>
      <c r="AM133" s="495">
        <f t="shared" si="80"/>
        <v>0</v>
      </c>
      <c r="AN133" s="160"/>
      <c r="AO133" s="496">
        <f t="shared" si="81"/>
        <v>0</v>
      </c>
      <c r="AP133" s="433">
        <f t="shared" si="82"/>
        <v>0</v>
      </c>
      <c r="AQ133" s="411">
        <f t="shared" si="83"/>
        <v>0</v>
      </c>
      <c r="AR133" s="1"/>
    </row>
    <row r="134" spans="2:44" ht="15.75" x14ac:dyDescent="0.25">
      <c r="B134" s="435"/>
      <c r="C134" s="491" t="str">
        <f>IF(B134&lt;=0,"",VLOOKUP(B134,Treatments!$C$7:$J$407,2))</f>
        <v/>
      </c>
      <c r="D134" s="492"/>
      <c r="E134" s="433">
        <f>VLOOKUP(B134,Treatments!$C$7:$J$407,8)</f>
        <v>0</v>
      </c>
      <c r="F134" s="435"/>
      <c r="G134" s="493"/>
      <c r="H134" s="433">
        <f t="shared" si="69"/>
        <v>0</v>
      </c>
      <c r="I134" s="411">
        <f t="shared" si="74"/>
        <v>0</v>
      </c>
      <c r="L134" s="305"/>
      <c r="M134" s="491" t="str">
        <f>VLOOKUP(L134,Treatments!$C$7:$J$407,2)</f>
        <v>No treatment</v>
      </c>
      <c r="N134" s="306"/>
      <c r="O134" s="433">
        <f>VLOOKUP(L134,Treatments!$C$7:$J$407,8)</f>
        <v>0</v>
      </c>
      <c r="P134" s="305"/>
      <c r="Q134" s="310"/>
      <c r="R134" s="308"/>
      <c r="S134" s="433">
        <f t="shared" si="76"/>
        <v>0</v>
      </c>
      <c r="T134" s="411">
        <f t="shared" si="77"/>
        <v>0</v>
      </c>
      <c r="U134" s="1"/>
      <c r="Y134" s="447">
        <f t="shared" si="75"/>
        <v>0</v>
      </c>
      <c r="Z134" s="491" t="str">
        <f>VLOOKUP(Y134,Treatments!$C$7:$J$407,2)</f>
        <v>No treatment</v>
      </c>
      <c r="AA134" s="495">
        <f t="shared" si="70"/>
        <v>0</v>
      </c>
      <c r="AB134" s="433">
        <f>VLOOKUP(Y134,Treatments!$C$7:$J$407,8)</f>
        <v>0</v>
      </c>
      <c r="AC134" s="495">
        <f t="shared" si="71"/>
        <v>0</v>
      </c>
      <c r="AD134" s="496">
        <f t="shared" si="71"/>
        <v>0</v>
      </c>
      <c r="AE134" s="433">
        <f t="shared" si="72"/>
        <v>0</v>
      </c>
      <c r="AF134" s="411">
        <f t="shared" si="73"/>
        <v>0</v>
      </c>
      <c r="AI134" s="447">
        <f t="shared" si="78"/>
        <v>0</v>
      </c>
      <c r="AJ134" s="491" t="str">
        <f>VLOOKUP(AI134,Treatments!$C$7:$J$407,2)</f>
        <v>No treatment</v>
      </c>
      <c r="AK134" s="495">
        <f t="shared" si="79"/>
        <v>0</v>
      </c>
      <c r="AL134" s="433">
        <f>VLOOKUP(AI134,Treatments!$C$7:$J$407,8)</f>
        <v>0</v>
      </c>
      <c r="AM134" s="495">
        <f t="shared" si="80"/>
        <v>0</v>
      </c>
      <c r="AN134" s="160"/>
      <c r="AO134" s="496">
        <f t="shared" si="81"/>
        <v>0</v>
      </c>
      <c r="AP134" s="433">
        <f t="shared" si="82"/>
        <v>0</v>
      </c>
      <c r="AQ134" s="411">
        <f t="shared" si="83"/>
        <v>0</v>
      </c>
      <c r="AR134" s="1"/>
    </row>
    <row r="135" spans="2:44" ht="15.75" x14ac:dyDescent="0.25">
      <c r="B135" s="435"/>
      <c r="C135" s="491" t="str">
        <f>IF(B135&lt;=0,"",VLOOKUP(B135,Treatments!$C$7:$J$407,2))</f>
        <v/>
      </c>
      <c r="D135" s="492"/>
      <c r="E135" s="433">
        <f>VLOOKUP(B135,Treatments!$C$7:$J$407,8)</f>
        <v>0</v>
      </c>
      <c r="F135" s="435"/>
      <c r="G135" s="493"/>
      <c r="H135" s="433">
        <f t="shared" si="69"/>
        <v>0</v>
      </c>
      <c r="I135" s="411">
        <f t="shared" si="74"/>
        <v>0</v>
      </c>
      <c r="L135" s="305"/>
      <c r="M135" s="491" t="str">
        <f>VLOOKUP(L135,Treatments!$C$7:$J$407,2)</f>
        <v>No treatment</v>
      </c>
      <c r="N135" s="306"/>
      <c r="O135" s="433">
        <f>VLOOKUP(L135,Treatments!$C$7:$J$407,8)</f>
        <v>0</v>
      </c>
      <c r="P135" s="305"/>
      <c r="Q135" s="310"/>
      <c r="R135" s="308"/>
      <c r="S135" s="433">
        <f t="shared" si="76"/>
        <v>0</v>
      </c>
      <c r="T135" s="411">
        <f t="shared" si="77"/>
        <v>0</v>
      </c>
      <c r="U135" s="1"/>
      <c r="Y135" s="447">
        <f t="shared" si="75"/>
        <v>0</v>
      </c>
      <c r="Z135" s="491" t="str">
        <f>VLOOKUP(Y135,Treatments!$C$7:$J$407,2)</f>
        <v>No treatment</v>
      </c>
      <c r="AA135" s="495">
        <f t="shared" si="70"/>
        <v>0</v>
      </c>
      <c r="AB135" s="433">
        <f>VLOOKUP(Y135,Treatments!$C$7:$J$407,8)</f>
        <v>0</v>
      </c>
      <c r="AC135" s="495">
        <f t="shared" si="71"/>
        <v>0</v>
      </c>
      <c r="AD135" s="496">
        <f t="shared" si="71"/>
        <v>0</v>
      </c>
      <c r="AE135" s="433">
        <f t="shared" si="72"/>
        <v>0</v>
      </c>
      <c r="AF135" s="411">
        <f t="shared" si="73"/>
        <v>0</v>
      </c>
      <c r="AI135" s="447">
        <f t="shared" si="78"/>
        <v>0</v>
      </c>
      <c r="AJ135" s="491" t="str">
        <f>VLOOKUP(AI135,Treatments!$C$7:$J$407,2)</f>
        <v>No treatment</v>
      </c>
      <c r="AK135" s="495">
        <f t="shared" si="79"/>
        <v>0</v>
      </c>
      <c r="AL135" s="433">
        <f>VLOOKUP(AI135,Treatments!$C$7:$J$407,8)</f>
        <v>0</v>
      </c>
      <c r="AM135" s="495">
        <f t="shared" si="80"/>
        <v>0</v>
      </c>
      <c r="AN135" s="160"/>
      <c r="AO135" s="496">
        <f t="shared" si="81"/>
        <v>0</v>
      </c>
      <c r="AP135" s="433">
        <f t="shared" si="82"/>
        <v>0</v>
      </c>
      <c r="AQ135" s="411">
        <f t="shared" si="83"/>
        <v>0</v>
      </c>
      <c r="AR135" s="1"/>
    </row>
    <row r="136" spans="2:44" ht="15.75" x14ac:dyDescent="0.25">
      <c r="B136" s="435"/>
      <c r="C136" s="491" t="str">
        <f>IF(B136&lt;=0,"",VLOOKUP(B136,Treatments!$C$7:$J$407,2))</f>
        <v/>
      </c>
      <c r="D136" s="492"/>
      <c r="E136" s="433">
        <f>VLOOKUP(B136,Treatments!$C$7:$J$407,8)</f>
        <v>0</v>
      </c>
      <c r="F136" s="435"/>
      <c r="G136" s="493"/>
      <c r="H136" s="433">
        <f t="shared" si="69"/>
        <v>0</v>
      </c>
      <c r="I136" s="411">
        <f t="shared" si="74"/>
        <v>0</v>
      </c>
      <c r="L136" s="305"/>
      <c r="M136" s="491" t="str">
        <f>VLOOKUP(L136,Treatments!$C$7:$J$407,2)</f>
        <v>No treatment</v>
      </c>
      <c r="N136" s="306"/>
      <c r="O136" s="433">
        <f>VLOOKUP(L136,Treatments!$C$7:$J$407,8)</f>
        <v>0</v>
      </c>
      <c r="P136" s="305"/>
      <c r="Q136" s="310"/>
      <c r="R136" s="308"/>
      <c r="S136" s="433">
        <f t="shared" si="76"/>
        <v>0</v>
      </c>
      <c r="T136" s="411">
        <f t="shared" si="77"/>
        <v>0</v>
      </c>
      <c r="U136" s="1"/>
      <c r="Y136" s="447">
        <f t="shared" si="75"/>
        <v>0</v>
      </c>
      <c r="Z136" s="491" t="str">
        <f>VLOOKUP(Y136,Treatments!$C$7:$J$407,2)</f>
        <v>No treatment</v>
      </c>
      <c r="AA136" s="495">
        <f t="shared" si="70"/>
        <v>0</v>
      </c>
      <c r="AB136" s="433">
        <f>VLOOKUP(Y136,Treatments!$C$7:$J$407,8)</f>
        <v>0</v>
      </c>
      <c r="AC136" s="495">
        <f t="shared" si="71"/>
        <v>0</v>
      </c>
      <c r="AD136" s="496">
        <f t="shared" si="71"/>
        <v>0</v>
      </c>
      <c r="AE136" s="433">
        <f t="shared" si="72"/>
        <v>0</v>
      </c>
      <c r="AF136" s="411">
        <f t="shared" si="73"/>
        <v>0</v>
      </c>
      <c r="AI136" s="447">
        <f t="shared" si="78"/>
        <v>0</v>
      </c>
      <c r="AJ136" s="491" t="str">
        <f>VLOOKUP(AI136,Treatments!$C$7:$J$407,2)</f>
        <v>No treatment</v>
      </c>
      <c r="AK136" s="495">
        <f t="shared" si="79"/>
        <v>0</v>
      </c>
      <c r="AL136" s="433">
        <f>VLOOKUP(AI136,Treatments!$C$7:$J$407,8)</f>
        <v>0</v>
      </c>
      <c r="AM136" s="495">
        <f t="shared" si="80"/>
        <v>0</v>
      </c>
      <c r="AN136" s="160"/>
      <c r="AO136" s="496">
        <f t="shared" si="81"/>
        <v>0</v>
      </c>
      <c r="AP136" s="433">
        <f t="shared" si="82"/>
        <v>0</v>
      </c>
      <c r="AQ136" s="411">
        <f t="shared" si="83"/>
        <v>0</v>
      </c>
      <c r="AR136" s="1"/>
    </row>
    <row r="137" spans="2:44" ht="15.75" x14ac:dyDescent="0.25">
      <c r="B137" s="435"/>
      <c r="C137" s="491" t="str">
        <f>IF(B137&lt;=0,"",VLOOKUP(B137,Treatments!$C$7:$J$407,2))</f>
        <v/>
      </c>
      <c r="D137" s="492"/>
      <c r="E137" s="433">
        <f>VLOOKUP(B137,Treatments!$C$7:$J$407,8)</f>
        <v>0</v>
      </c>
      <c r="F137" s="435"/>
      <c r="G137" s="493"/>
      <c r="H137" s="433">
        <f t="shared" si="69"/>
        <v>0</v>
      </c>
      <c r="I137" s="411">
        <f t="shared" si="74"/>
        <v>0</v>
      </c>
      <c r="L137" s="305"/>
      <c r="M137" s="491" t="str">
        <f>VLOOKUP(L137,Treatments!$C$7:$J$407,2)</f>
        <v>No treatment</v>
      </c>
      <c r="N137" s="306"/>
      <c r="O137" s="433">
        <f>VLOOKUP(L137,Treatments!$C$7:$J$407,8)</f>
        <v>0</v>
      </c>
      <c r="P137" s="305"/>
      <c r="Q137" s="311"/>
      <c r="R137" s="308"/>
      <c r="S137" s="433">
        <f t="shared" si="76"/>
        <v>0</v>
      </c>
      <c r="T137" s="411">
        <f t="shared" si="77"/>
        <v>0</v>
      </c>
      <c r="U137" s="1"/>
      <c r="Y137" s="447">
        <f t="shared" si="75"/>
        <v>0</v>
      </c>
      <c r="Z137" s="491" t="str">
        <f>VLOOKUP(Y137,Treatments!$C$7:$J$407,2)</f>
        <v>No treatment</v>
      </c>
      <c r="AA137" s="495">
        <f t="shared" si="70"/>
        <v>0</v>
      </c>
      <c r="AB137" s="433">
        <f>VLOOKUP(Y137,Treatments!$C$7:$J$407,8)</f>
        <v>0</v>
      </c>
      <c r="AC137" s="495">
        <f t="shared" si="71"/>
        <v>0</v>
      </c>
      <c r="AD137" s="496">
        <f t="shared" si="71"/>
        <v>0</v>
      </c>
      <c r="AE137" s="433">
        <f t="shared" si="72"/>
        <v>0</v>
      </c>
      <c r="AF137" s="411">
        <f t="shared" si="73"/>
        <v>0</v>
      </c>
      <c r="AI137" s="447">
        <f t="shared" si="78"/>
        <v>0</v>
      </c>
      <c r="AJ137" s="491" t="str">
        <f>VLOOKUP(AI137,Treatments!$C$7:$J$407,2)</f>
        <v>No treatment</v>
      </c>
      <c r="AK137" s="495">
        <f t="shared" si="79"/>
        <v>0</v>
      </c>
      <c r="AL137" s="433">
        <f>VLOOKUP(AI137,Treatments!$C$7:$J$407,8)</f>
        <v>0</v>
      </c>
      <c r="AM137" s="495">
        <f t="shared" si="80"/>
        <v>0</v>
      </c>
      <c r="AN137" s="498"/>
      <c r="AO137" s="496">
        <f t="shared" si="81"/>
        <v>0</v>
      </c>
      <c r="AP137" s="433">
        <f t="shared" si="82"/>
        <v>0</v>
      </c>
      <c r="AQ137" s="411">
        <f t="shared" si="83"/>
        <v>0</v>
      </c>
      <c r="AR137" s="1"/>
    </row>
    <row r="138" spans="2:44" ht="15.75" x14ac:dyDescent="0.25">
      <c r="B138" s="435"/>
      <c r="C138" s="491" t="str">
        <f>IF(B138&lt;=0,"",VLOOKUP(B138,Treatments!$C$7:$J$407,2))</f>
        <v/>
      </c>
      <c r="D138" s="492"/>
      <c r="E138" s="433">
        <f>VLOOKUP(B138,Treatments!$C$7:$J$407,8)</f>
        <v>0</v>
      </c>
      <c r="F138" s="435"/>
      <c r="G138" s="493"/>
      <c r="H138" s="433">
        <f t="shared" si="69"/>
        <v>0</v>
      </c>
      <c r="I138" s="411">
        <f t="shared" si="74"/>
        <v>0</v>
      </c>
      <c r="L138" s="1"/>
      <c r="M138" s="14"/>
      <c r="N138" s="13" t="s">
        <v>584</v>
      </c>
      <c r="O138" s="6"/>
      <c r="P138" s="1"/>
      <c r="Q138" s="6"/>
      <c r="R138" s="1"/>
      <c r="S138" s="510">
        <f>SUM(S110:S137)</f>
        <v>0</v>
      </c>
      <c r="T138" s="411">
        <f t="shared" si="77"/>
        <v>0</v>
      </c>
      <c r="U138" s="1"/>
      <c r="Y138" s="447">
        <f t="shared" si="75"/>
        <v>0</v>
      </c>
      <c r="Z138" s="491" t="str">
        <f>VLOOKUP(Y138,Treatments!$C$7:$J$407,2)</f>
        <v>No treatment</v>
      </c>
      <c r="AA138" s="495">
        <f t="shared" si="70"/>
        <v>0</v>
      </c>
      <c r="AB138" s="433">
        <f>VLOOKUP(Y138,Treatments!$C$7:$J$407,8)</f>
        <v>0</v>
      </c>
      <c r="AC138" s="495">
        <f t="shared" si="71"/>
        <v>0</v>
      </c>
      <c r="AD138" s="496">
        <f t="shared" si="71"/>
        <v>0</v>
      </c>
      <c r="AE138" s="433">
        <f t="shared" si="72"/>
        <v>0</v>
      </c>
      <c r="AF138" s="411">
        <f t="shared" si="73"/>
        <v>0</v>
      </c>
      <c r="AI138" s="1"/>
      <c r="AJ138" s="14"/>
      <c r="AK138" s="13" t="s">
        <v>584</v>
      </c>
      <c r="AL138" s="6"/>
      <c r="AM138" s="1"/>
      <c r="AN138" s="6"/>
      <c r="AO138" s="1"/>
      <c r="AP138" s="510">
        <f>SUM(AP110:AP137)</f>
        <v>0</v>
      </c>
      <c r="AQ138" s="510">
        <f>SUM(AQ110:AQ137)</f>
        <v>0</v>
      </c>
      <c r="AR138" s="1"/>
    </row>
    <row r="139" spans="2:44" x14ac:dyDescent="0.2">
      <c r="B139" s="1"/>
      <c r="C139" s="1"/>
      <c r="D139" s="1"/>
      <c r="E139" s="1"/>
      <c r="F139" s="1"/>
      <c r="G139" s="6"/>
      <c r="H139" s="1"/>
      <c r="I139" s="1"/>
      <c r="L139" s="1"/>
      <c r="M139" s="1"/>
      <c r="N139" s="1"/>
      <c r="O139" s="1"/>
      <c r="P139" s="1"/>
      <c r="Q139" s="1"/>
      <c r="R139" s="1"/>
      <c r="S139" s="1"/>
      <c r="T139" s="1"/>
      <c r="U139" s="1"/>
      <c r="Y139" s="1"/>
      <c r="Z139" s="1"/>
      <c r="AA139" s="6"/>
      <c r="AB139" s="6"/>
      <c r="AC139" s="6"/>
      <c r="AD139" s="6"/>
      <c r="AE139" s="6"/>
      <c r="AF139" s="6"/>
      <c r="AI139" s="1"/>
      <c r="AJ139" s="1"/>
      <c r="AK139" s="1"/>
      <c r="AL139" s="1"/>
      <c r="AM139" s="1"/>
      <c r="AN139" s="1"/>
      <c r="AO139" s="1"/>
      <c r="AP139" s="1"/>
      <c r="AQ139" s="1"/>
      <c r="AR139" s="1"/>
    </row>
    <row r="140" spans="2:44" ht="15.75" x14ac:dyDescent="0.25">
      <c r="B140" s="501" t="s">
        <v>994</v>
      </c>
      <c r="C140" s="502" t="s">
        <v>581</v>
      </c>
      <c r="D140" s="503" t="s">
        <v>616</v>
      </c>
      <c r="E140" s="501" t="s">
        <v>619</v>
      </c>
      <c r="F140" s="504" t="s">
        <v>617</v>
      </c>
      <c r="G140" s="504" t="s">
        <v>618</v>
      </c>
      <c r="H140" s="505"/>
      <c r="I140" s="506"/>
      <c r="L140" s="1"/>
      <c r="M140" s="1"/>
      <c r="N140" s="1"/>
      <c r="O140" s="1"/>
      <c r="P140" s="1"/>
      <c r="Q140" s="1"/>
      <c r="R140" s="1"/>
      <c r="S140" s="511"/>
      <c r="T140" s="512"/>
      <c r="U140" s="1"/>
      <c r="Y140" s="6" t="s">
        <v>994</v>
      </c>
      <c r="Z140" s="5" t="s">
        <v>581</v>
      </c>
      <c r="AA140" s="6" t="s">
        <v>616</v>
      </c>
      <c r="AB140" s="6" t="s">
        <v>619</v>
      </c>
      <c r="AC140" s="6" t="s">
        <v>617</v>
      </c>
      <c r="AD140" s="6" t="s">
        <v>618</v>
      </c>
      <c r="AE140" s="507"/>
      <c r="AF140" s="508"/>
      <c r="AI140" s="1"/>
      <c r="AJ140" s="1"/>
      <c r="AK140" s="1"/>
      <c r="AL140" s="1"/>
      <c r="AM140" s="1"/>
      <c r="AN140" s="1"/>
      <c r="AO140" s="1"/>
      <c r="AP140" s="511"/>
      <c r="AQ140" s="512"/>
      <c r="AR140" s="1"/>
    </row>
    <row r="141" spans="2:44" ht="15.75" x14ac:dyDescent="0.25">
      <c r="B141" s="305"/>
      <c r="C141" s="491" t="str">
        <f>IF(B141&lt;=0,"",VLOOKUP(B141,Treatments!$C$7:$J$407,2))</f>
        <v/>
      </c>
      <c r="D141" s="306"/>
      <c r="E141" s="433">
        <f>VLOOKUP(B141,Treatments!$C$7:$J$407,8)</f>
        <v>0</v>
      </c>
      <c r="F141" s="305"/>
      <c r="G141" s="308"/>
      <c r="H141" s="433">
        <f t="shared" ref="H141:H147" si="84">D141*E141*F141*G141</f>
        <v>0</v>
      </c>
      <c r="I141" s="411">
        <f>H141*$D$9</f>
        <v>0</v>
      </c>
      <c r="L141" s="1"/>
      <c r="N141" s="1"/>
      <c r="O141" s="1"/>
      <c r="P141" s="1"/>
      <c r="Q141" s="1"/>
      <c r="R141" s="12" t="s">
        <v>794</v>
      </c>
      <c r="S141" s="513"/>
      <c r="T141" s="510">
        <f>S141*$D$9</f>
        <v>0</v>
      </c>
      <c r="U141" s="1"/>
      <c r="Y141" s="447">
        <f t="shared" ref="Y141:Y146" si="85">IF(AND(B141&gt;=344,B141&lt;=358),B141+15,B141)</f>
        <v>0</v>
      </c>
      <c r="Z141" s="491" t="str">
        <f>VLOOKUP(Y141,Treatments!$C$7:$J$407,2)</f>
        <v>No treatment</v>
      </c>
      <c r="AA141" s="495">
        <f>D141</f>
        <v>0</v>
      </c>
      <c r="AB141" s="433">
        <f>VLOOKUP(Y141,Treatments!$C$7:$J$407,8)</f>
        <v>0</v>
      </c>
      <c r="AC141" s="495">
        <f>F141</f>
        <v>0</v>
      </c>
      <c r="AD141" s="496">
        <f t="shared" ref="AD141:AD147" si="86">G141</f>
        <v>0</v>
      </c>
      <c r="AE141" s="433">
        <f t="shared" ref="AE141:AE147" si="87">AA141*AB141*AC141*AD141</f>
        <v>0</v>
      </c>
      <c r="AF141" s="411">
        <f t="shared" ref="AF141:AF147" si="88">AE141*$D$9</f>
        <v>0</v>
      </c>
      <c r="AI141" s="1"/>
      <c r="AK141" s="1"/>
      <c r="AL141" s="1"/>
      <c r="AM141" s="1"/>
      <c r="AN141" s="1"/>
      <c r="AO141" s="12" t="s">
        <v>794</v>
      </c>
      <c r="AP141" s="510">
        <f>S141</f>
        <v>0</v>
      </c>
      <c r="AQ141" s="510">
        <f>AP141*$D$9</f>
        <v>0</v>
      </c>
      <c r="AR141" s="1"/>
    </row>
    <row r="142" spans="2:44" ht="15.75" x14ac:dyDescent="0.25">
      <c r="B142" s="305"/>
      <c r="C142" s="491" t="str">
        <f>IF(B142&lt;=0,"",VLOOKUP(B142,Treatments!$C$7:$J$407,2))</f>
        <v/>
      </c>
      <c r="D142" s="306"/>
      <c r="E142" s="433">
        <f>VLOOKUP(B142,Treatments!$C$7:$J$407,8)</f>
        <v>0</v>
      </c>
      <c r="F142" s="305"/>
      <c r="G142" s="308"/>
      <c r="H142" s="433">
        <f t="shared" si="84"/>
        <v>0</v>
      </c>
      <c r="I142" s="411">
        <f t="shared" ref="I142:I147" si="89">H142*$D$9</f>
        <v>0</v>
      </c>
      <c r="L142" s="1"/>
      <c r="M142" s="1"/>
      <c r="N142" s="1"/>
      <c r="O142" s="1"/>
      <c r="P142" s="1"/>
      <c r="Q142" s="12" t="s">
        <v>585</v>
      </c>
      <c r="R142" s="514">
        <v>0.05</v>
      </c>
      <c r="S142" s="510">
        <f>S141+S140+S138</f>
        <v>0</v>
      </c>
      <c r="T142" s="510">
        <f>T141+T140+T138</f>
        <v>0</v>
      </c>
      <c r="U142" s="1"/>
      <c r="Y142" s="447">
        <f t="shared" si="85"/>
        <v>0</v>
      </c>
      <c r="Z142" s="491" t="str">
        <f>VLOOKUP(Y142,Treatments!$C$7:$J$407,2)</f>
        <v>No treatment</v>
      </c>
      <c r="AA142" s="495">
        <f t="shared" ref="AA142:AA147" si="90">D142</f>
        <v>0</v>
      </c>
      <c r="AB142" s="433">
        <f>VLOOKUP(Y142,Treatments!$C$7:$J$407,8)</f>
        <v>0</v>
      </c>
      <c r="AC142" s="495">
        <f t="shared" ref="AC142:AC147" si="91">F142</f>
        <v>0</v>
      </c>
      <c r="AD142" s="496">
        <f t="shared" si="86"/>
        <v>0</v>
      </c>
      <c r="AE142" s="433">
        <f t="shared" si="87"/>
        <v>0</v>
      </c>
      <c r="AF142" s="411">
        <f t="shared" si="88"/>
        <v>0</v>
      </c>
      <c r="AI142" s="1"/>
      <c r="AJ142" s="1"/>
      <c r="AK142" s="1"/>
      <c r="AL142" s="1"/>
      <c r="AM142" s="1"/>
      <c r="AN142" s="12" t="s">
        <v>585</v>
      </c>
      <c r="AO142" s="496">
        <f>R142</f>
        <v>0.05</v>
      </c>
      <c r="AP142" s="510">
        <f>AP141+AP140+AP138</f>
        <v>0</v>
      </c>
      <c r="AQ142" s="510">
        <f>AQ141+AQ140+AQ138</f>
        <v>0</v>
      </c>
      <c r="AR142" s="1"/>
    </row>
    <row r="143" spans="2:44" ht="15.75" x14ac:dyDescent="0.25">
      <c r="B143" s="305"/>
      <c r="C143" s="491" t="str">
        <f>IF(B143&lt;=0,"",VLOOKUP(B143,Treatments!$C$7:$J$407,2))</f>
        <v/>
      </c>
      <c r="D143" s="306"/>
      <c r="E143" s="433">
        <f>VLOOKUP(B143,Treatments!$C$7:$J$407,8)</f>
        <v>0</v>
      </c>
      <c r="F143" s="305"/>
      <c r="G143" s="308"/>
      <c r="H143" s="433">
        <f t="shared" si="84"/>
        <v>0</v>
      </c>
      <c r="I143" s="411">
        <f t="shared" si="89"/>
        <v>0</v>
      </c>
      <c r="L143" s="1"/>
      <c r="N143" s="1"/>
      <c r="O143" s="17" t="s">
        <v>586</v>
      </c>
      <c r="P143" s="12" t="s">
        <v>587</v>
      </c>
      <c r="Q143" s="420">
        <v>5</v>
      </c>
      <c r="R143" s="1" t="s">
        <v>588</v>
      </c>
      <c r="S143" s="511">
        <f>PMT(R142,Q143,S142)*-1</f>
        <v>0</v>
      </c>
      <c r="T143" s="1" t="s">
        <v>589</v>
      </c>
      <c r="U143" s="1"/>
      <c r="Y143" s="447">
        <f t="shared" si="85"/>
        <v>0</v>
      </c>
      <c r="Z143" s="491" t="str">
        <f>VLOOKUP(Y143,Treatments!$C$7:$J$407,2)</f>
        <v>No treatment</v>
      </c>
      <c r="AA143" s="495">
        <f t="shared" si="90"/>
        <v>0</v>
      </c>
      <c r="AB143" s="433">
        <f>VLOOKUP(Y143,Treatments!$C$7:$J$407,8)</f>
        <v>0</v>
      </c>
      <c r="AC143" s="495">
        <f t="shared" si="91"/>
        <v>0</v>
      </c>
      <c r="AD143" s="496">
        <f t="shared" si="86"/>
        <v>0</v>
      </c>
      <c r="AE143" s="433">
        <f t="shared" si="87"/>
        <v>0</v>
      </c>
      <c r="AF143" s="411">
        <f t="shared" si="88"/>
        <v>0</v>
      </c>
      <c r="AI143" s="1"/>
      <c r="AK143" s="1"/>
      <c r="AL143" s="17" t="s">
        <v>586</v>
      </c>
      <c r="AM143" s="12" t="s">
        <v>587</v>
      </c>
      <c r="AN143" s="447">
        <f>Q143</f>
        <v>5</v>
      </c>
      <c r="AO143" s="1" t="s">
        <v>588</v>
      </c>
      <c r="AP143" s="511">
        <f>PMT(AO142,AN143,AP142)*-1</f>
        <v>0</v>
      </c>
      <c r="AQ143" s="1" t="s">
        <v>589</v>
      </c>
      <c r="AR143" s="1"/>
    </row>
    <row r="144" spans="2:44" x14ac:dyDescent="0.2">
      <c r="B144" s="435"/>
      <c r="C144" s="491" t="str">
        <f>IF(B144&lt;=0,"",VLOOKUP(B144,Treatments!$C$7:$J$407,2))</f>
        <v/>
      </c>
      <c r="D144" s="492"/>
      <c r="E144" s="433">
        <f>VLOOKUP(B144,Treatments!$C$7:$J$407,8)</f>
        <v>0</v>
      </c>
      <c r="F144" s="435"/>
      <c r="G144" s="493"/>
      <c r="H144" s="433">
        <f t="shared" si="84"/>
        <v>0</v>
      </c>
      <c r="I144" s="411">
        <f t="shared" si="89"/>
        <v>0</v>
      </c>
      <c r="L144" s="1"/>
      <c r="N144" s="1"/>
      <c r="T144" s="1"/>
      <c r="U144" s="1"/>
      <c r="Y144" s="447">
        <f t="shared" si="85"/>
        <v>0</v>
      </c>
      <c r="Z144" s="491" t="str">
        <f>VLOOKUP(Y144,Treatments!$C$7:$J$407,2)</f>
        <v>No treatment</v>
      </c>
      <c r="AA144" s="495">
        <f t="shared" si="90"/>
        <v>0</v>
      </c>
      <c r="AB144" s="433">
        <f>VLOOKUP(Y144,Treatments!$C$7:$J$407,8)</f>
        <v>0</v>
      </c>
      <c r="AC144" s="495">
        <f t="shared" si="91"/>
        <v>0</v>
      </c>
      <c r="AD144" s="496">
        <f t="shared" si="86"/>
        <v>0</v>
      </c>
      <c r="AE144" s="433">
        <f t="shared" si="87"/>
        <v>0</v>
      </c>
      <c r="AF144" s="411">
        <f t="shared" si="88"/>
        <v>0</v>
      </c>
      <c r="AI144" s="1"/>
      <c r="AJ144" s="1"/>
      <c r="AK144" s="1"/>
      <c r="AL144" s="1"/>
      <c r="AM144" s="1"/>
      <c r="AN144" s="1"/>
      <c r="AO144" s="1"/>
      <c r="AP144" s="1"/>
      <c r="AQ144" s="1"/>
      <c r="AR144" s="1"/>
    </row>
    <row r="145" spans="2:44" x14ac:dyDescent="0.2">
      <c r="B145" s="435"/>
      <c r="C145" s="491" t="str">
        <f>IF(B145&lt;=0,"",VLOOKUP(B145,Treatments!$C$7:$J$407,2))</f>
        <v/>
      </c>
      <c r="D145" s="492"/>
      <c r="E145" s="433">
        <f>VLOOKUP(B145,Treatments!$C$7:$J$407,8)</f>
        <v>0</v>
      </c>
      <c r="F145" s="435"/>
      <c r="G145" s="493"/>
      <c r="H145" s="433">
        <f t="shared" si="84"/>
        <v>0</v>
      </c>
      <c r="I145" s="411">
        <f t="shared" si="89"/>
        <v>0</v>
      </c>
      <c r="L145" s="1"/>
      <c r="M145" s="1"/>
      <c r="N145" s="1"/>
      <c r="O145" s="1"/>
      <c r="P145" s="1"/>
      <c r="Q145" s="1"/>
      <c r="R145" s="1"/>
      <c r="S145" s="1"/>
      <c r="T145" s="1"/>
      <c r="U145" s="1"/>
      <c r="Y145" s="447">
        <f t="shared" si="85"/>
        <v>0</v>
      </c>
      <c r="Z145" s="491" t="str">
        <f>VLOOKUP(Y145,Treatments!$C$7:$J$407,2)</f>
        <v>No treatment</v>
      </c>
      <c r="AA145" s="495">
        <f t="shared" si="90"/>
        <v>0</v>
      </c>
      <c r="AB145" s="433">
        <f>VLOOKUP(Y145,Treatments!$C$7:$J$407,8)</f>
        <v>0</v>
      </c>
      <c r="AC145" s="495">
        <f t="shared" si="91"/>
        <v>0</v>
      </c>
      <c r="AD145" s="496">
        <f t="shared" si="86"/>
        <v>0</v>
      </c>
      <c r="AE145" s="433">
        <f t="shared" si="87"/>
        <v>0</v>
      </c>
      <c r="AF145" s="411">
        <f t="shared" si="88"/>
        <v>0</v>
      </c>
      <c r="AI145" s="1"/>
      <c r="AJ145" s="1"/>
      <c r="AK145" s="1"/>
      <c r="AL145" s="1"/>
      <c r="AM145" s="1"/>
      <c r="AN145" s="1"/>
      <c r="AO145" s="1"/>
      <c r="AP145" s="1"/>
      <c r="AQ145" s="1"/>
      <c r="AR145" s="1"/>
    </row>
    <row r="146" spans="2:44" x14ac:dyDescent="0.2">
      <c r="B146" s="435"/>
      <c r="C146" s="491" t="str">
        <f>IF(B146&lt;=0,"",VLOOKUP(B146,Treatments!$C$7:$J$407,2))</f>
        <v/>
      </c>
      <c r="D146" s="492"/>
      <c r="E146" s="433">
        <f>VLOOKUP(B146,Treatments!$C$7:$J$407,8)</f>
        <v>0</v>
      </c>
      <c r="F146" s="435"/>
      <c r="G146" s="493"/>
      <c r="H146" s="433">
        <f t="shared" si="84"/>
        <v>0</v>
      </c>
      <c r="I146" s="411">
        <f t="shared" si="89"/>
        <v>0</v>
      </c>
      <c r="L146" s="1"/>
      <c r="M146" s="1"/>
      <c r="N146" s="1"/>
      <c r="O146" s="1"/>
      <c r="P146" s="1"/>
      <c r="Q146" s="1"/>
      <c r="R146" s="1"/>
      <c r="S146" s="1"/>
      <c r="T146" s="1"/>
      <c r="U146" s="1"/>
      <c r="Y146" s="447">
        <f t="shared" si="85"/>
        <v>0</v>
      </c>
      <c r="Z146" s="491" t="str">
        <f>VLOOKUP(Y146,Treatments!$C$7:$J$407,2)</f>
        <v>No treatment</v>
      </c>
      <c r="AA146" s="495">
        <f t="shared" si="90"/>
        <v>0</v>
      </c>
      <c r="AB146" s="433">
        <f>VLOOKUP(Y146,Treatments!$C$7:$J$407,8)</f>
        <v>0</v>
      </c>
      <c r="AC146" s="495">
        <f t="shared" si="91"/>
        <v>0</v>
      </c>
      <c r="AD146" s="496">
        <f t="shared" si="86"/>
        <v>0</v>
      </c>
      <c r="AE146" s="433">
        <f t="shared" si="87"/>
        <v>0</v>
      </c>
      <c r="AF146" s="411">
        <f t="shared" si="88"/>
        <v>0</v>
      </c>
      <c r="AI146" s="1"/>
      <c r="AJ146" s="1"/>
      <c r="AK146" s="1"/>
      <c r="AL146" s="1"/>
      <c r="AM146" s="1"/>
      <c r="AN146" s="1"/>
      <c r="AO146" s="1"/>
      <c r="AP146" s="1"/>
      <c r="AQ146" s="1"/>
      <c r="AR146" s="1"/>
    </row>
    <row r="147" spans="2:44" x14ac:dyDescent="0.2">
      <c r="B147" s="1"/>
      <c r="C147" s="1" t="s">
        <v>586</v>
      </c>
      <c r="D147" s="492"/>
      <c r="E147" s="433">
        <f>S143</f>
        <v>0</v>
      </c>
      <c r="F147" s="435"/>
      <c r="G147" s="493"/>
      <c r="H147" s="433">
        <f t="shared" si="84"/>
        <v>0</v>
      </c>
      <c r="I147" s="411">
        <f t="shared" si="89"/>
        <v>0</v>
      </c>
      <c r="L147" s="1"/>
      <c r="M147" s="1"/>
      <c r="N147" s="1"/>
      <c r="O147" s="1"/>
      <c r="P147" s="1"/>
      <c r="Q147" s="1"/>
      <c r="R147" s="1"/>
      <c r="S147" s="1"/>
      <c r="T147" s="1"/>
      <c r="U147" s="1"/>
      <c r="Y147" s="1"/>
      <c r="Z147" s="1" t="s">
        <v>586</v>
      </c>
      <c r="AA147" s="495">
        <f t="shared" si="90"/>
        <v>0</v>
      </c>
      <c r="AB147" s="433">
        <f>AP143</f>
        <v>0</v>
      </c>
      <c r="AC147" s="495">
        <f t="shared" si="91"/>
        <v>0</v>
      </c>
      <c r="AD147" s="496">
        <f t="shared" si="86"/>
        <v>0</v>
      </c>
      <c r="AE147" s="433">
        <f t="shared" si="87"/>
        <v>0</v>
      </c>
      <c r="AF147" s="411">
        <f t="shared" si="88"/>
        <v>0</v>
      </c>
      <c r="AI147" s="1"/>
      <c r="AJ147" s="1"/>
      <c r="AK147" s="1"/>
      <c r="AL147" s="1"/>
      <c r="AM147" s="1"/>
      <c r="AN147" s="1"/>
      <c r="AO147" s="1"/>
      <c r="AP147" s="1"/>
      <c r="AQ147" s="1"/>
      <c r="AR147" s="1"/>
    </row>
    <row r="148" spans="2:44" ht="15.75" x14ac:dyDescent="0.25">
      <c r="B148" s="515"/>
      <c r="C148" s="515"/>
      <c r="D148" s="515"/>
      <c r="E148" s="516"/>
      <c r="F148" s="517" t="s">
        <v>796</v>
      </c>
      <c r="G148" s="515"/>
      <c r="H148" s="510">
        <f>SUM(H110:H147)</f>
        <v>0</v>
      </c>
      <c r="I148" s="510">
        <f>SUM(I110:I147)</f>
        <v>0</v>
      </c>
      <c r="L148" s="1" t="s">
        <v>791</v>
      </c>
      <c r="M148" s="1"/>
      <c r="N148" s="1"/>
      <c r="O148" s="1"/>
      <c r="P148" s="1"/>
      <c r="Q148" s="1"/>
      <c r="R148" s="1"/>
      <c r="S148" s="1"/>
      <c r="T148" s="1"/>
      <c r="U148" s="1"/>
      <c r="Y148" s="515"/>
      <c r="Z148" s="515"/>
      <c r="AA148" s="518"/>
      <c r="AB148" s="516"/>
      <c r="AC148" s="518" t="s">
        <v>796</v>
      </c>
      <c r="AD148" s="518"/>
      <c r="AE148" s="510">
        <f>SUM(AE110:AE147)</f>
        <v>0</v>
      </c>
      <c r="AF148" s="510">
        <f>SUM(AF110:AF147)</f>
        <v>0</v>
      </c>
      <c r="AI148" s="1"/>
      <c r="AJ148" s="1"/>
      <c r="AK148" s="1"/>
      <c r="AL148" s="1"/>
      <c r="AM148" s="1"/>
      <c r="AN148" s="1"/>
      <c r="AO148" s="1"/>
      <c r="AP148" s="1"/>
      <c r="AQ148" s="1"/>
      <c r="AR148" s="1"/>
    </row>
    <row r="149" spans="2:44" x14ac:dyDescent="0.2">
      <c r="B149" s="515"/>
      <c r="D149" s="515"/>
      <c r="E149" s="516"/>
      <c r="F149" s="515"/>
      <c r="G149" s="515"/>
      <c r="H149" s="515"/>
      <c r="L149" s="1" t="s">
        <v>790</v>
      </c>
      <c r="M149" s="1"/>
      <c r="N149" s="1"/>
      <c r="O149" s="1"/>
      <c r="P149" s="1"/>
      <c r="Q149" s="1"/>
      <c r="R149" s="1"/>
      <c r="S149" s="1"/>
      <c r="T149" s="1"/>
      <c r="U149" s="1"/>
    </row>
    <row r="150" spans="2:44" x14ac:dyDescent="0.2">
      <c r="D150" s="515"/>
      <c r="E150" s="516"/>
      <c r="F150" s="515"/>
      <c r="G150" s="515"/>
      <c r="H150" s="515"/>
      <c r="L150" s="1"/>
      <c r="M150" s="1"/>
      <c r="N150" s="1"/>
      <c r="O150" s="1"/>
      <c r="P150" s="1"/>
      <c r="Q150" s="1"/>
      <c r="R150" s="1"/>
      <c r="S150" s="1"/>
      <c r="T150" s="1"/>
      <c r="U150" s="1"/>
    </row>
    <row r="151" spans="2:44" x14ac:dyDescent="0.2">
      <c r="B151"/>
      <c r="C151"/>
      <c r="D151"/>
      <c r="E151" s="516"/>
      <c r="F151" s="515"/>
      <c r="G151" s="515"/>
      <c r="H151" s="515"/>
      <c r="L151" s="1" t="s">
        <v>394</v>
      </c>
      <c r="M151" s="1"/>
      <c r="N151" s="1"/>
      <c r="O151" s="1"/>
      <c r="P151" s="1"/>
      <c r="Q151" s="1"/>
      <c r="R151" s="1"/>
      <c r="S151" s="1"/>
      <c r="T151" s="1"/>
      <c r="U151" s="1"/>
    </row>
    <row r="152" spans="2:44" x14ac:dyDescent="0.2">
      <c r="H152" s="515"/>
      <c r="L152" s="1"/>
      <c r="M152" s="1"/>
      <c r="N152" s="1"/>
      <c r="O152" s="1"/>
      <c r="P152" s="1"/>
      <c r="Q152" s="1"/>
      <c r="R152" s="1"/>
      <c r="S152" s="1"/>
      <c r="T152" s="1"/>
      <c r="U152" s="1"/>
    </row>
    <row r="153" spans="2:44" ht="15.75" x14ac:dyDescent="0.25">
      <c r="B153" s="551" t="s">
        <v>897</v>
      </c>
      <c r="C153" s="552"/>
      <c r="G153" s="551" t="s">
        <v>897</v>
      </c>
      <c r="H153" s="552"/>
      <c r="L153" s="1" t="s">
        <v>793</v>
      </c>
      <c r="M153" s="1"/>
      <c r="N153" s="1"/>
      <c r="O153" s="1"/>
      <c r="P153" s="1"/>
      <c r="Q153" s="1"/>
      <c r="R153" s="1"/>
      <c r="S153" s="1"/>
      <c r="T153" s="1"/>
      <c r="U153" s="1"/>
    </row>
    <row r="154" spans="2:44" ht="15.75" x14ac:dyDescent="0.25">
      <c r="B154" s="553" t="s">
        <v>400</v>
      </c>
      <c r="C154" s="555"/>
      <c r="D154" s="554" t="s">
        <v>993</v>
      </c>
      <c r="E154" s="554" t="s">
        <v>904</v>
      </c>
      <c r="G154" s="553" t="s">
        <v>393</v>
      </c>
      <c r="H154" s="555"/>
      <c r="I154" s="554" t="s">
        <v>993</v>
      </c>
      <c r="J154" s="554" t="s">
        <v>904</v>
      </c>
      <c r="L154" s="1" t="s">
        <v>798</v>
      </c>
      <c r="M154" s="1"/>
      <c r="N154" s="1"/>
      <c r="O154" s="1"/>
      <c r="P154" s="1"/>
      <c r="Q154" s="1"/>
      <c r="R154" s="1"/>
      <c r="S154" s="1"/>
      <c r="T154" s="1"/>
    </row>
    <row r="155" spans="2:44" ht="15.75" x14ac:dyDescent="0.25">
      <c r="B155" s="454" t="s">
        <v>898</v>
      </c>
      <c r="C155" s="519"/>
      <c r="D155" s="455">
        <f>L60</f>
        <v>0</v>
      </c>
      <c r="E155" s="455">
        <f>D155/$D$8</f>
        <v>0</v>
      </c>
      <c r="F155" s="515"/>
      <c r="G155" s="456" t="s">
        <v>898</v>
      </c>
      <c r="H155" s="456"/>
      <c r="I155" s="457">
        <f t="shared" ref="I155:J160" si="92">D155</f>
        <v>0</v>
      </c>
      <c r="J155" s="457">
        <f t="shared" si="92"/>
        <v>0</v>
      </c>
      <c r="L155" s="1" t="s">
        <v>799</v>
      </c>
      <c r="M155" s="1"/>
      <c r="N155" s="1"/>
      <c r="O155" s="1"/>
      <c r="P155" s="1"/>
      <c r="Q155" s="1"/>
      <c r="R155" s="1"/>
      <c r="S155" s="1"/>
      <c r="T155" s="1"/>
    </row>
    <row r="156" spans="2:44" ht="15.75" x14ac:dyDescent="0.25">
      <c r="B156" s="458" t="s">
        <v>797</v>
      </c>
      <c r="C156" s="459"/>
      <c r="D156" s="460">
        <f>H22</f>
        <v>0</v>
      </c>
      <c r="E156" s="460">
        <f t="shared" ref="E156:E162" si="93">D156/$D$8</f>
        <v>0</v>
      </c>
      <c r="F156" s="515"/>
      <c r="G156" s="458" t="s">
        <v>797</v>
      </c>
      <c r="H156" s="458"/>
      <c r="I156" s="460">
        <f t="shared" si="92"/>
        <v>0</v>
      </c>
      <c r="J156" s="461">
        <f t="shared" si="92"/>
        <v>0</v>
      </c>
      <c r="L156" s="520"/>
    </row>
    <row r="157" spans="2:44" ht="15.75" x14ac:dyDescent="0.25">
      <c r="B157" s="462" t="s">
        <v>399</v>
      </c>
      <c r="C157" s="463"/>
      <c r="D157" s="464">
        <f>H35+J35+L35</f>
        <v>0</v>
      </c>
      <c r="E157" s="464">
        <f t="shared" si="93"/>
        <v>0</v>
      </c>
      <c r="F157" s="515"/>
      <c r="G157" s="462" t="s">
        <v>899</v>
      </c>
      <c r="H157" s="462"/>
      <c r="I157" s="465">
        <f t="shared" si="92"/>
        <v>0</v>
      </c>
      <c r="J157" s="466">
        <f t="shared" si="92"/>
        <v>0</v>
      </c>
      <c r="M157" s="520"/>
    </row>
    <row r="158" spans="2:44" ht="15.75" x14ac:dyDescent="0.25">
      <c r="B158" s="467" t="s">
        <v>880</v>
      </c>
      <c r="C158" s="463"/>
      <c r="D158" s="464">
        <f>L75</f>
        <v>0</v>
      </c>
      <c r="E158" s="464">
        <f t="shared" si="93"/>
        <v>0</v>
      </c>
      <c r="F158" s="515"/>
      <c r="G158" s="467" t="s">
        <v>880</v>
      </c>
      <c r="H158" s="467"/>
      <c r="I158" s="465">
        <f t="shared" si="92"/>
        <v>0</v>
      </c>
      <c r="J158" s="466">
        <f t="shared" si="92"/>
        <v>0</v>
      </c>
    </row>
    <row r="159" spans="2:44" ht="15.75" x14ac:dyDescent="0.25">
      <c r="B159" s="467" t="s">
        <v>881</v>
      </c>
      <c r="C159" s="463"/>
      <c r="D159" s="464">
        <f>M47</f>
        <v>0</v>
      </c>
      <c r="E159" s="464">
        <f t="shared" si="93"/>
        <v>0</v>
      </c>
      <c r="G159" s="467" t="s">
        <v>881</v>
      </c>
      <c r="H159" s="467"/>
      <c r="I159" s="465">
        <f t="shared" si="92"/>
        <v>0</v>
      </c>
      <c r="J159" s="466">
        <f t="shared" si="92"/>
        <v>0</v>
      </c>
    </row>
    <row r="160" spans="2:44" ht="15.75" x14ac:dyDescent="0.25">
      <c r="B160" s="467" t="s">
        <v>872</v>
      </c>
      <c r="C160" s="463"/>
      <c r="D160" s="464">
        <f>D75+H75</f>
        <v>0</v>
      </c>
      <c r="E160" s="464">
        <f t="shared" si="93"/>
        <v>0</v>
      </c>
      <c r="F160" s="515"/>
      <c r="G160" s="467" t="s">
        <v>872</v>
      </c>
      <c r="H160" s="467"/>
      <c r="I160" s="465">
        <f t="shared" si="92"/>
        <v>0</v>
      </c>
      <c r="J160" s="466">
        <f t="shared" si="92"/>
        <v>0</v>
      </c>
    </row>
    <row r="161" spans="2:13" ht="15.75" x14ac:dyDescent="0.25">
      <c r="B161" s="468" t="s">
        <v>755</v>
      </c>
      <c r="C161" s="469"/>
      <c r="D161" s="470">
        <f>I148</f>
        <v>0</v>
      </c>
      <c r="E161" s="470">
        <f t="shared" si="93"/>
        <v>0</v>
      </c>
      <c r="F161" s="515"/>
      <c r="G161" s="468" t="s">
        <v>754</v>
      </c>
      <c r="H161" s="468"/>
      <c r="I161" s="465">
        <f>AF148</f>
        <v>0</v>
      </c>
      <c r="J161" s="466">
        <f>I161/$D$8</f>
        <v>0</v>
      </c>
    </row>
    <row r="162" spans="2:13" ht="15.75" x14ac:dyDescent="0.25">
      <c r="B162" s="471" t="s">
        <v>900</v>
      </c>
      <c r="C162" s="521"/>
      <c r="D162" s="472">
        <f>SUM(D156:D161)</f>
        <v>0</v>
      </c>
      <c r="E162" s="472">
        <f t="shared" si="93"/>
        <v>0</v>
      </c>
      <c r="F162" s="515"/>
      <c r="G162" s="471" t="s">
        <v>900</v>
      </c>
      <c r="H162" s="471"/>
      <c r="I162" s="472">
        <f>SUM(I156:I161)</f>
        <v>0</v>
      </c>
      <c r="J162" s="472">
        <f>I162/D8</f>
        <v>0</v>
      </c>
    </row>
    <row r="163" spans="2:13" x14ac:dyDescent="0.2">
      <c r="B163" s="427"/>
      <c r="C163" s="427"/>
      <c r="D163" s="427"/>
      <c r="E163" s="427"/>
      <c r="G163" s="427"/>
      <c r="H163" s="427"/>
      <c r="I163" s="427"/>
      <c r="J163" s="427"/>
    </row>
    <row r="164" spans="2:13" ht="15.75" x14ac:dyDescent="0.25">
      <c r="B164" s="473" t="s">
        <v>901</v>
      </c>
      <c r="C164" s="522"/>
      <c r="D164" s="474">
        <f>D155-D162</f>
        <v>0</v>
      </c>
      <c r="E164" s="474">
        <f>D164/D8</f>
        <v>0</v>
      </c>
      <c r="G164" s="473" t="s">
        <v>901</v>
      </c>
      <c r="H164" s="473"/>
      <c r="I164" s="474">
        <f>I155-I162</f>
        <v>0</v>
      </c>
      <c r="J164" s="474">
        <f>I164/$D$8</f>
        <v>0</v>
      </c>
      <c r="K164" s="523"/>
    </row>
    <row r="165" spans="2:13" ht="15.75" x14ac:dyDescent="0.25">
      <c r="B165" s="473" t="s">
        <v>737</v>
      </c>
      <c r="C165" s="475"/>
      <c r="D165" s="474">
        <f>H88</f>
        <v>0</v>
      </c>
      <c r="E165" s="474">
        <f>D165/D8</f>
        <v>0</v>
      </c>
      <c r="F165" s="515"/>
      <c r="G165" s="473" t="s">
        <v>737</v>
      </c>
      <c r="H165" s="475"/>
      <c r="I165" s="474">
        <f>H88</f>
        <v>0</v>
      </c>
      <c r="J165" s="515"/>
    </row>
    <row r="166" spans="2:13" ht="15.75" x14ac:dyDescent="0.25">
      <c r="B166" s="473" t="s">
        <v>675</v>
      </c>
      <c r="C166" s="522"/>
      <c r="D166" s="474">
        <f>D164-D165</f>
        <v>0</v>
      </c>
      <c r="E166" s="474">
        <f>D166/$D$8</f>
        <v>0</v>
      </c>
      <c r="F166" s="515"/>
      <c r="G166" s="473" t="s">
        <v>902</v>
      </c>
      <c r="H166" s="473"/>
      <c r="I166" s="474">
        <f>I164-I165</f>
        <v>0</v>
      </c>
      <c r="J166" s="474">
        <f>I166/$D$8</f>
        <v>0</v>
      </c>
    </row>
    <row r="167" spans="2:13" ht="15.75" x14ac:dyDescent="0.25">
      <c r="B167" s="473" t="s">
        <v>739</v>
      </c>
      <c r="C167" s="522"/>
      <c r="D167" s="522"/>
      <c r="E167" s="476">
        <f>(E60-F22)/$D$8</f>
        <v>0</v>
      </c>
      <c r="F167" s="515"/>
      <c r="J167" s="515"/>
    </row>
    <row r="168" spans="2:13" x14ac:dyDescent="0.2">
      <c r="F168" s="515"/>
      <c r="J168" s="524"/>
    </row>
    <row r="169" spans="2:13" x14ac:dyDescent="0.2">
      <c r="F169" s="515"/>
      <c r="I169" s="515"/>
      <c r="J169" s="515"/>
    </row>
    <row r="170" spans="2:13" x14ac:dyDescent="0.2">
      <c r="B170" s="1"/>
      <c r="C170" s="1"/>
      <c r="D170" s="1"/>
      <c r="E170" s="524"/>
      <c r="F170" s="515"/>
      <c r="G170" s="1"/>
      <c r="H170" s="1"/>
      <c r="I170" s="1"/>
      <c r="J170" s="524"/>
    </row>
    <row r="171" spans="2:13" x14ac:dyDescent="0.2">
      <c r="G171" s="1"/>
      <c r="H171" s="1"/>
      <c r="I171" s="1"/>
      <c r="J171" s="515"/>
    </row>
    <row r="172" spans="2:13" ht="15.75" thickBot="1" x14ac:dyDescent="0.25">
      <c r="B172" s="1"/>
      <c r="C172" s="1"/>
      <c r="D172" s="1"/>
      <c r="E172" s="524"/>
      <c r="G172" s="1"/>
      <c r="H172" s="1"/>
      <c r="I172" s="1"/>
      <c r="J172" s="524"/>
    </row>
    <row r="173" spans="2:13" ht="16.5" thickBot="1" x14ac:dyDescent="0.3">
      <c r="B173" s="1"/>
      <c r="C173" s="525" t="s">
        <v>667</v>
      </c>
      <c r="D173" s="526" t="s">
        <v>668</v>
      </c>
      <c r="E173" s="1"/>
      <c r="G173" s="527"/>
      <c r="H173" s="528" t="s">
        <v>760</v>
      </c>
      <c r="I173" s="529"/>
      <c r="J173" s="530"/>
      <c r="K173" s="528" t="s">
        <v>761</v>
      </c>
      <c r="L173" s="529"/>
      <c r="M173" s="530"/>
    </row>
    <row r="174" spans="2:13" ht="15.75" x14ac:dyDescent="0.2">
      <c r="B174" s="1"/>
      <c r="C174" s="74" t="s">
        <v>661</v>
      </c>
      <c r="D174" s="495">
        <f>H100</f>
        <v>0</v>
      </c>
      <c r="E174" s="1"/>
      <c r="G174" s="531"/>
      <c r="H174" s="532" t="s">
        <v>762</v>
      </c>
      <c r="I174" s="532" t="s">
        <v>763</v>
      </c>
      <c r="J174" s="532" t="s">
        <v>764</v>
      </c>
      <c r="K174" s="532" t="s">
        <v>765</v>
      </c>
      <c r="L174" s="532" t="s">
        <v>766</v>
      </c>
      <c r="M174" s="532" t="s">
        <v>767</v>
      </c>
    </row>
    <row r="175" spans="2:13" ht="16.5" thickBot="1" x14ac:dyDescent="0.25">
      <c r="C175" s="74" t="s">
        <v>669</v>
      </c>
      <c r="D175" s="435">
        <v>3650</v>
      </c>
      <c r="E175" s="1" t="s">
        <v>803</v>
      </c>
      <c r="G175" s="533" t="s">
        <v>768</v>
      </c>
      <c r="H175" s="534">
        <v>1000</v>
      </c>
      <c r="I175" s="534">
        <v>1000</v>
      </c>
      <c r="J175" s="534">
        <v>1000</v>
      </c>
      <c r="K175" s="534">
        <v>1000</v>
      </c>
      <c r="L175" s="534">
        <v>1000</v>
      </c>
      <c r="M175" s="534">
        <v>1000</v>
      </c>
    </row>
    <row r="176" spans="2:13" ht="16.5" thickBot="1" x14ac:dyDescent="0.25">
      <c r="C176" s="74" t="s">
        <v>670</v>
      </c>
      <c r="D176" s="409">
        <f>D175*D174</f>
        <v>0</v>
      </c>
      <c r="E176" s="1" t="s">
        <v>666</v>
      </c>
      <c r="G176" s="535" t="s">
        <v>769</v>
      </c>
      <c r="H176" s="536">
        <v>0.4</v>
      </c>
      <c r="I176" s="537">
        <v>0.3</v>
      </c>
      <c r="J176" s="538">
        <v>0.4</v>
      </c>
      <c r="K176" s="539">
        <v>0.3</v>
      </c>
      <c r="L176" s="538">
        <v>0.3</v>
      </c>
      <c r="M176" s="540">
        <v>0.3</v>
      </c>
    </row>
    <row r="177" spans="2:14" x14ac:dyDescent="0.2">
      <c r="B177" s="1"/>
      <c r="C177" s="541" t="s">
        <v>671</v>
      </c>
      <c r="D177" s="452">
        <v>0.3</v>
      </c>
      <c r="E177" s="1"/>
      <c r="G177" s="1"/>
      <c r="H177" s="1"/>
      <c r="I177" s="1"/>
      <c r="J177" s="1"/>
      <c r="K177" s="1"/>
      <c r="L177" s="1"/>
      <c r="M177" s="1"/>
    </row>
    <row r="178" spans="2:14" x14ac:dyDescent="0.2">
      <c r="B178" s="1"/>
      <c r="C178" s="541" t="s">
        <v>662</v>
      </c>
      <c r="D178" s="409">
        <f>D176*1/D177</f>
        <v>0</v>
      </c>
      <c r="E178" s="1" t="s">
        <v>666</v>
      </c>
      <c r="N178" s="1"/>
    </row>
    <row r="179" spans="2:14" x14ac:dyDescent="0.2">
      <c r="B179" s="1"/>
      <c r="C179" s="74" t="s">
        <v>672</v>
      </c>
      <c r="D179" s="409">
        <f>D8</f>
        <v>100</v>
      </c>
      <c r="E179" s="1" t="s">
        <v>1000</v>
      </c>
      <c r="N179" s="1"/>
    </row>
    <row r="180" spans="2:14" x14ac:dyDescent="0.2">
      <c r="B180" s="1"/>
      <c r="C180" s="74" t="s">
        <v>663</v>
      </c>
      <c r="D180" s="409">
        <f>D178/D179</f>
        <v>0</v>
      </c>
      <c r="E180" s="1" t="s">
        <v>802</v>
      </c>
      <c r="N180" s="1"/>
    </row>
    <row r="181" spans="2:14" x14ac:dyDescent="0.2">
      <c r="B181" s="1"/>
      <c r="C181" s="74" t="s">
        <v>664</v>
      </c>
      <c r="D181" s="435">
        <v>1000</v>
      </c>
      <c r="E181" s="1" t="s">
        <v>802</v>
      </c>
      <c r="N181" s="1"/>
    </row>
    <row r="182" spans="2:14" x14ac:dyDescent="0.2">
      <c r="B182" s="1"/>
      <c r="C182" s="74" t="s">
        <v>665</v>
      </c>
      <c r="D182" s="409">
        <f>D181+D180</f>
        <v>1000</v>
      </c>
      <c r="E182" s="1" t="s">
        <v>802</v>
      </c>
      <c r="N182" s="1"/>
    </row>
    <row r="183" spans="2:14" x14ac:dyDescent="0.2">
      <c r="B183" s="1"/>
      <c r="C183" s="542"/>
      <c r="D183" s="543"/>
      <c r="E183" s="1"/>
      <c r="N183" s="1"/>
    </row>
    <row r="184" spans="2:14" x14ac:dyDescent="0.2">
      <c r="B184" s="1"/>
      <c r="C184" s="1"/>
      <c r="D184" s="1"/>
      <c r="E184" s="1"/>
      <c r="F184" s="1"/>
      <c r="G184" s="1"/>
      <c r="H184" s="1"/>
      <c r="I184" s="1"/>
      <c r="J184" s="1"/>
      <c r="K184" s="1"/>
      <c r="L184" s="1"/>
      <c r="M184" s="1"/>
      <c r="N184" s="1"/>
    </row>
    <row r="185" spans="2:14" x14ac:dyDescent="0.2">
      <c r="B185" s="1"/>
      <c r="C185" s="1"/>
      <c r="D185" s="1"/>
      <c r="E185" s="1"/>
      <c r="F185" s="1"/>
      <c r="G185" s="1"/>
      <c r="H185" s="1"/>
      <c r="I185" s="1"/>
      <c r="J185" s="1"/>
      <c r="K185" s="1"/>
      <c r="L185" s="1"/>
      <c r="M185" s="1"/>
      <c r="N185" s="1"/>
    </row>
    <row r="186" spans="2:14" x14ac:dyDescent="0.2">
      <c r="B186" s="1"/>
      <c r="C186" s="1"/>
      <c r="D186" s="1"/>
      <c r="E186" s="1"/>
      <c r="F186" s="1"/>
      <c r="G186" s="1"/>
      <c r="H186" s="1"/>
      <c r="I186" s="1"/>
      <c r="J186" s="1"/>
      <c r="K186" s="1"/>
      <c r="L186" s="1"/>
      <c r="M186" s="1"/>
      <c r="N186" s="1"/>
    </row>
    <row r="187" spans="2:14" x14ac:dyDescent="0.2">
      <c r="B187" s="1"/>
      <c r="C187" s="1"/>
      <c r="D187" s="1"/>
      <c r="E187" s="1"/>
      <c r="F187" s="1"/>
      <c r="G187" s="1"/>
      <c r="H187" s="1"/>
      <c r="I187" s="1"/>
      <c r="J187" s="1"/>
      <c r="K187" s="1"/>
      <c r="L187" s="1"/>
      <c r="M187" s="1"/>
      <c r="N187" s="1"/>
    </row>
    <row r="188" spans="2:14" x14ac:dyDescent="0.2">
      <c r="B188" s="1"/>
      <c r="C188" s="1"/>
      <c r="D188" s="1"/>
      <c r="E188" s="1"/>
      <c r="F188" s="1"/>
      <c r="G188" s="1"/>
      <c r="H188" s="1"/>
      <c r="I188" s="1"/>
      <c r="J188" s="1"/>
      <c r="K188" s="1"/>
      <c r="L188" s="1"/>
      <c r="M188" s="1"/>
      <c r="N188" s="1"/>
    </row>
    <row r="189" spans="2:14" x14ac:dyDescent="0.2">
      <c r="B189" s="1"/>
      <c r="C189" s="1"/>
      <c r="D189" s="1"/>
      <c r="E189" s="1"/>
      <c r="F189" s="1"/>
      <c r="G189" s="1"/>
      <c r="H189" s="1"/>
      <c r="I189" s="1"/>
      <c r="J189" s="1"/>
      <c r="K189" s="1"/>
      <c r="L189" s="1"/>
      <c r="M189" s="1"/>
      <c r="N189" s="1"/>
    </row>
    <row r="190" spans="2:14" x14ac:dyDescent="0.2">
      <c r="B190" s="1"/>
      <c r="C190" s="1"/>
      <c r="D190" s="1"/>
      <c r="E190" s="1"/>
      <c r="F190" s="1"/>
      <c r="G190" s="1"/>
      <c r="H190" s="1"/>
      <c r="I190" s="1"/>
      <c r="J190" s="1"/>
      <c r="K190" s="1"/>
      <c r="L190" s="1"/>
      <c r="M190" s="1"/>
      <c r="N190" s="1"/>
    </row>
    <row r="191" spans="2:14" x14ac:dyDescent="0.2">
      <c r="B191" s="1"/>
      <c r="C191" s="1"/>
      <c r="D191" s="1"/>
      <c r="E191" s="1"/>
      <c r="F191" s="1"/>
      <c r="G191" s="1"/>
      <c r="H191" s="1"/>
      <c r="I191" s="1"/>
      <c r="J191" s="1"/>
      <c r="K191" s="1"/>
      <c r="L191" s="1"/>
      <c r="M191" s="1"/>
      <c r="N191" s="1"/>
    </row>
    <row r="192" spans="2:14" x14ac:dyDescent="0.2">
      <c r="B192" s="1"/>
      <c r="C192" s="1"/>
      <c r="D192" s="1"/>
      <c r="E192" s="1"/>
      <c r="F192" s="1"/>
      <c r="G192" s="1"/>
      <c r="H192" s="1"/>
      <c r="I192" s="1"/>
      <c r="J192" s="1"/>
      <c r="K192" s="1"/>
    </row>
    <row r="193" spans="2:11" x14ac:dyDescent="0.2">
      <c r="B193" s="1"/>
      <c r="C193" s="1"/>
      <c r="D193" s="1"/>
      <c r="E193" s="1"/>
      <c r="F193" s="1"/>
      <c r="G193" s="1"/>
      <c r="H193" s="1"/>
      <c r="I193" s="1"/>
      <c r="J193" s="1"/>
      <c r="K193" s="1"/>
    </row>
    <row r="194" spans="2:11" x14ac:dyDescent="0.2">
      <c r="C194" s="1"/>
      <c r="D194" s="1"/>
      <c r="E194" s="1"/>
      <c r="F194" s="1"/>
      <c r="G194" s="1"/>
      <c r="H194" s="1"/>
      <c r="I194" s="1"/>
      <c r="J194" s="1"/>
      <c r="K194" s="1"/>
    </row>
    <row r="195" spans="2:11" x14ac:dyDescent="0.2">
      <c r="E195" s="1"/>
      <c r="F195" s="1"/>
      <c r="G195" s="1"/>
      <c r="H195" s="1"/>
      <c r="I195" s="1"/>
      <c r="J195" s="1"/>
      <c r="K195" s="1"/>
    </row>
    <row r="196" spans="2:11" x14ac:dyDescent="0.2">
      <c r="E196" s="1"/>
      <c r="F196" s="1"/>
      <c r="G196" s="1"/>
      <c r="H196" s="1"/>
      <c r="I196" s="1"/>
      <c r="J196" s="1"/>
      <c r="K196" s="1"/>
    </row>
    <row r="197" spans="2:11" x14ac:dyDescent="0.2">
      <c r="E197" s="1"/>
      <c r="F197" s="1"/>
      <c r="G197" s="1"/>
      <c r="H197" s="1"/>
      <c r="I197" s="1"/>
      <c r="J197" s="1"/>
      <c r="K197" s="1"/>
    </row>
    <row r="198" spans="2:11" x14ac:dyDescent="0.2">
      <c r="E198" s="1"/>
      <c r="F198" s="1"/>
      <c r="G198" s="1"/>
      <c r="H198" s="1"/>
      <c r="I198" s="1"/>
      <c r="J198" s="1"/>
      <c r="K198" s="1"/>
    </row>
    <row r="199" spans="2:11" x14ac:dyDescent="0.2">
      <c r="E199" s="1"/>
      <c r="F199" s="1"/>
      <c r="G199" s="1"/>
      <c r="H199" s="1"/>
      <c r="I199" s="1"/>
      <c r="J199" s="1"/>
      <c r="K199" s="1"/>
    </row>
    <row r="200" spans="2:11" x14ac:dyDescent="0.2">
      <c r="E200" s="1"/>
      <c r="F200" s="1"/>
      <c r="G200" s="1"/>
      <c r="H200" s="1"/>
      <c r="I200" s="1"/>
      <c r="J200" s="1"/>
      <c r="K200" s="1"/>
    </row>
    <row r="201" spans="2:11" x14ac:dyDescent="0.2">
      <c r="E201" s="1"/>
      <c r="F201" s="1"/>
      <c r="G201" s="1"/>
      <c r="H201" s="1"/>
      <c r="I201" s="1"/>
      <c r="J201" s="1"/>
      <c r="K201" s="1"/>
    </row>
    <row r="202" spans="2:11" x14ac:dyDescent="0.2">
      <c r="E202" s="1"/>
      <c r="F202" s="1"/>
      <c r="G202" s="1"/>
      <c r="H202" s="1"/>
      <c r="I202" s="1"/>
      <c r="J202" s="1"/>
      <c r="K202" s="1"/>
    </row>
    <row r="203" spans="2:11" x14ac:dyDescent="0.2">
      <c r="E203" s="1"/>
      <c r="F203" s="1"/>
      <c r="G203" s="1"/>
      <c r="H203" s="1"/>
      <c r="I203" s="1"/>
      <c r="J203" s="1"/>
      <c r="K203" s="1"/>
    </row>
    <row r="204" spans="2:11" x14ac:dyDescent="0.2">
      <c r="E204" s="1"/>
      <c r="F204" s="1"/>
      <c r="G204" s="1"/>
      <c r="H204" s="1"/>
      <c r="I204" s="1"/>
      <c r="J204" s="1"/>
      <c r="K204" s="1"/>
    </row>
    <row r="205" spans="2:11" x14ac:dyDescent="0.2">
      <c r="B205" s="1"/>
      <c r="C205" s="1"/>
      <c r="D205" s="1"/>
      <c r="E205" s="1"/>
      <c r="F205" s="1"/>
      <c r="G205" s="1"/>
      <c r="H205" s="1"/>
      <c r="I205" s="1"/>
      <c r="J205" s="1"/>
      <c r="K205" s="1"/>
    </row>
    <row r="206" spans="2:11" x14ac:dyDescent="0.2">
      <c r="B206" s="1"/>
      <c r="C206" s="1"/>
      <c r="D206" s="1"/>
      <c r="E206" s="1"/>
      <c r="F206" s="1"/>
      <c r="G206" s="1"/>
      <c r="H206" s="1"/>
      <c r="I206" s="1"/>
      <c r="J206" s="1"/>
      <c r="K206" s="1"/>
    </row>
    <row r="207" spans="2:11" x14ac:dyDescent="0.2">
      <c r="B207" s="1"/>
      <c r="C207" s="1"/>
      <c r="D207" s="1"/>
      <c r="E207" s="1"/>
      <c r="F207" s="1"/>
      <c r="G207" s="1"/>
      <c r="H207" s="1"/>
      <c r="I207" s="1"/>
      <c r="J207" s="1"/>
      <c r="K207" s="1"/>
    </row>
    <row r="208" spans="2:11" x14ac:dyDescent="0.2">
      <c r="B208" s="1"/>
      <c r="C208" s="1"/>
      <c r="D208" s="1"/>
      <c r="E208" s="1"/>
      <c r="F208" s="1"/>
      <c r="G208" s="1"/>
      <c r="H208" s="1"/>
      <c r="I208" s="1"/>
      <c r="J208" s="1"/>
      <c r="K208" s="1"/>
    </row>
    <row r="209" spans="2:11" x14ac:dyDescent="0.2">
      <c r="B209" s="1"/>
      <c r="C209" s="1"/>
      <c r="D209" s="1"/>
      <c r="E209" s="1"/>
      <c r="F209" s="1"/>
      <c r="G209" s="1"/>
      <c r="H209" s="1"/>
      <c r="I209" s="1"/>
      <c r="J209" s="1"/>
      <c r="K209" s="1"/>
    </row>
    <row r="210" spans="2:11" x14ac:dyDescent="0.2">
      <c r="B210" s="1"/>
      <c r="C210" s="1"/>
      <c r="D210" s="1"/>
      <c r="E210" s="1"/>
      <c r="F210" s="1"/>
      <c r="G210" s="1"/>
      <c r="H210" s="1"/>
      <c r="I210" s="1"/>
      <c r="J210" s="1"/>
      <c r="K210" s="1"/>
    </row>
    <row r="211" spans="2:11" x14ac:dyDescent="0.2">
      <c r="B211" s="1"/>
      <c r="C211" s="1"/>
      <c r="D211" s="1"/>
      <c r="E211" s="1"/>
      <c r="F211" s="1"/>
      <c r="G211" s="1"/>
      <c r="H211" s="1"/>
      <c r="I211" s="1"/>
      <c r="J211" s="1"/>
      <c r="K211" s="1"/>
    </row>
    <row r="212" spans="2:11" x14ac:dyDescent="0.2">
      <c r="B212" s="1"/>
      <c r="C212" s="1"/>
      <c r="D212" s="1"/>
      <c r="E212" s="1"/>
      <c r="F212" s="1"/>
      <c r="G212" s="1"/>
      <c r="H212" s="1"/>
      <c r="I212" s="1"/>
      <c r="J212" s="1"/>
      <c r="K212" s="1"/>
    </row>
    <row r="213" spans="2:11" x14ac:dyDescent="0.2">
      <c r="B213" s="1"/>
      <c r="C213" s="1"/>
      <c r="D213" s="1"/>
      <c r="E213" s="1"/>
      <c r="F213" s="1"/>
      <c r="G213" s="1"/>
      <c r="H213" s="1"/>
      <c r="I213" s="1"/>
      <c r="J213" s="1"/>
      <c r="K213" s="1"/>
    </row>
    <row r="214" spans="2:11" x14ac:dyDescent="0.2">
      <c r="B214" s="1"/>
      <c r="C214" s="1"/>
      <c r="D214" s="1"/>
      <c r="E214" s="1"/>
      <c r="F214" s="1"/>
      <c r="G214" s="1"/>
      <c r="H214" s="1"/>
      <c r="I214" s="1"/>
      <c r="J214" s="1"/>
      <c r="K214" s="1"/>
    </row>
    <row r="215" spans="2:11" x14ac:dyDescent="0.2">
      <c r="B215" s="1"/>
      <c r="C215" s="1"/>
      <c r="D215" s="1"/>
      <c r="E215" s="1"/>
      <c r="F215" s="1"/>
      <c r="G215" s="1"/>
      <c r="H215" s="1"/>
      <c r="I215" s="1"/>
      <c r="J215" s="1"/>
      <c r="K215" s="1"/>
    </row>
    <row r="216" spans="2:11" x14ac:dyDescent="0.2">
      <c r="B216" s="1"/>
      <c r="C216" s="1"/>
      <c r="D216" s="1"/>
      <c r="E216" s="1"/>
      <c r="F216" s="1"/>
      <c r="G216" s="1"/>
      <c r="H216" s="1"/>
      <c r="I216" s="1"/>
      <c r="J216" s="1"/>
      <c r="K216" s="1"/>
    </row>
    <row r="217" spans="2:11" x14ac:dyDescent="0.2">
      <c r="B217" s="1"/>
      <c r="C217" s="1"/>
      <c r="D217" s="1"/>
      <c r="E217" s="1"/>
      <c r="F217" s="1"/>
      <c r="G217" s="1"/>
      <c r="H217" s="1"/>
      <c r="I217" s="1"/>
      <c r="J217" s="1"/>
      <c r="K217" s="1"/>
    </row>
    <row r="218" spans="2:11" x14ac:dyDescent="0.2">
      <c r="B218" s="1"/>
      <c r="C218" s="1"/>
      <c r="D218" s="1"/>
      <c r="E218" s="1"/>
      <c r="F218" s="1"/>
      <c r="G218" s="1"/>
      <c r="H218" s="1"/>
      <c r="I218" s="1"/>
      <c r="J218" s="1"/>
      <c r="K218" s="1"/>
    </row>
    <row r="219" spans="2:11" x14ac:dyDescent="0.2">
      <c r="B219" s="1"/>
      <c r="C219" s="1"/>
      <c r="D219" s="1"/>
      <c r="E219" s="1"/>
      <c r="F219" s="1"/>
      <c r="G219" s="1"/>
      <c r="H219" s="1"/>
      <c r="I219" s="1"/>
      <c r="J219" s="1"/>
      <c r="K219" s="1"/>
    </row>
    <row r="220" spans="2:11" x14ac:dyDescent="0.2">
      <c r="B220" s="1"/>
      <c r="C220" s="1"/>
      <c r="D220" s="1"/>
      <c r="E220" s="1"/>
      <c r="F220" s="1"/>
      <c r="G220" s="1"/>
      <c r="H220" s="1"/>
      <c r="I220" s="1"/>
      <c r="J220" s="1"/>
      <c r="K220" s="1"/>
    </row>
    <row r="221" spans="2:11" x14ac:dyDescent="0.2">
      <c r="B221" s="1"/>
      <c r="C221" s="1"/>
      <c r="D221" s="1"/>
      <c r="E221" s="1"/>
      <c r="F221" s="1"/>
      <c r="G221" s="1"/>
      <c r="H221" s="1"/>
      <c r="I221" s="1"/>
      <c r="J221" s="1"/>
      <c r="K221" s="1"/>
    </row>
    <row r="222" spans="2:11" x14ac:dyDescent="0.2">
      <c r="B222" s="1"/>
      <c r="C222" s="1"/>
      <c r="D222" s="1"/>
      <c r="E222" s="1"/>
      <c r="F222" s="1"/>
      <c r="G222" s="1"/>
      <c r="H222" s="1"/>
      <c r="I222" s="1"/>
      <c r="J222" s="1"/>
      <c r="K222" s="1"/>
    </row>
    <row r="223" spans="2:11" x14ac:dyDescent="0.2">
      <c r="B223" s="1"/>
      <c r="C223" s="1"/>
      <c r="D223" s="1"/>
      <c r="E223" s="1"/>
      <c r="F223" s="1"/>
      <c r="G223" s="1"/>
      <c r="H223" s="1"/>
      <c r="I223" s="1"/>
      <c r="J223" s="1"/>
      <c r="K223" s="1"/>
    </row>
  </sheetData>
  <mergeCells count="13">
    <mergeCell ref="Q12:R12"/>
    <mergeCell ref="Q13:R13"/>
    <mergeCell ref="Q14:R14"/>
    <mergeCell ref="Q15:R15"/>
    <mergeCell ref="Q24:R24"/>
    <mergeCell ref="Q20:R20"/>
    <mergeCell ref="Q21:R21"/>
    <mergeCell ref="Q22:R22"/>
    <mergeCell ref="Q23:R23"/>
    <mergeCell ref="Q16:R16"/>
    <mergeCell ref="Q17:R17"/>
    <mergeCell ref="Q18:R18"/>
    <mergeCell ref="Q19:R19"/>
  </mergeCells>
  <phoneticPr fontId="15" type="noConversion"/>
  <pageMargins left="0.75" right="0.75" top="1" bottom="1" header="0.5" footer="0.5"/>
  <pageSetup paperSize="9" orientation="portrait"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2:AR223"/>
  <sheetViews>
    <sheetView showGridLines="0" zoomScale="55" workbookViewId="0"/>
  </sheetViews>
  <sheetFormatPr defaultColWidth="8.77734375" defaultRowHeight="15" x14ac:dyDescent="0.2"/>
  <cols>
    <col min="1" max="1" width="14.6640625" style="419" customWidth="1"/>
    <col min="2" max="2" width="15.6640625" style="419" customWidth="1"/>
    <col min="3" max="3" width="31" style="419" customWidth="1"/>
    <col min="4" max="4" width="25.44140625" style="419" bestFit="1" customWidth="1"/>
    <col min="5" max="5" width="27.77734375" style="419" customWidth="1"/>
    <col min="6" max="6" width="30" style="419" customWidth="1"/>
    <col min="7" max="7" width="26.44140625" style="419" customWidth="1"/>
    <col min="8" max="8" width="26.6640625" style="419" customWidth="1"/>
    <col min="9" max="9" width="20.88671875" style="419" bestFit="1" customWidth="1"/>
    <col min="10" max="10" width="23.77734375" style="419" customWidth="1"/>
    <col min="11" max="11" width="21.77734375" style="419" customWidth="1"/>
    <col min="12" max="12" width="21.21875" style="419" customWidth="1"/>
    <col min="13" max="13" width="20.88671875" style="419" customWidth="1"/>
    <col min="14" max="17" width="16.109375" style="419" customWidth="1"/>
    <col min="18" max="18" width="21" style="419" customWidth="1"/>
    <col min="19" max="19" width="16.88671875" style="419" customWidth="1"/>
    <col min="20" max="20" width="19.109375" style="419" customWidth="1"/>
    <col min="21" max="21" width="18.6640625" style="419" customWidth="1"/>
    <col min="22" max="22" width="13.5546875" style="419" customWidth="1"/>
    <col min="23" max="23" width="13" style="419" customWidth="1"/>
    <col min="24" max="24" width="12.109375" style="419" customWidth="1"/>
    <col min="25" max="25" width="40.109375" style="419" bestFit="1" customWidth="1"/>
    <col min="26" max="26" width="25.33203125" style="419" bestFit="1" customWidth="1"/>
    <col min="27" max="27" width="15.88671875" style="422" bestFit="1" customWidth="1"/>
    <col min="28" max="28" width="14" style="422" customWidth="1"/>
    <col min="29" max="29" width="23.33203125" style="422" bestFit="1" customWidth="1"/>
    <col min="30" max="30" width="17.77734375" style="422" customWidth="1"/>
    <col min="31" max="31" width="12.109375" style="422" bestFit="1" customWidth="1"/>
    <col min="32" max="32" width="12.33203125" style="422" customWidth="1"/>
    <col min="33" max="34" width="8.77734375" style="419"/>
    <col min="35" max="35" width="38.109375" style="419" bestFit="1" customWidth="1"/>
    <col min="36" max="36" width="21.44140625" style="419" bestFit="1" customWidth="1"/>
    <col min="37" max="37" width="32.109375" style="419" customWidth="1"/>
    <col min="38" max="38" width="30.88671875" style="419" bestFit="1" customWidth="1"/>
    <col min="39" max="39" width="19" style="419" bestFit="1" customWidth="1"/>
    <col min="40" max="40" width="8.77734375" style="419"/>
    <col min="41" max="41" width="17.6640625" style="419" customWidth="1"/>
    <col min="42" max="42" width="12.109375" style="419" bestFit="1" customWidth="1"/>
    <col min="43" max="43" width="18.44140625" style="419" bestFit="1" customWidth="1"/>
    <col min="44" max="16384" width="8.77734375" style="419"/>
  </cols>
  <sheetData>
    <row r="2" spans="1:28" ht="20.25" x14ac:dyDescent="0.3">
      <c r="B2" s="545" t="s">
        <v>246</v>
      </c>
    </row>
    <row r="3" spans="1:28" ht="15.75" x14ac:dyDescent="0.25">
      <c r="A3" s="446"/>
    </row>
    <row r="4" spans="1:28" ht="13.5" customHeight="1" x14ac:dyDescent="0.25">
      <c r="A4" s="446"/>
    </row>
    <row r="5" spans="1:28" ht="15.75" x14ac:dyDescent="0.25">
      <c r="B5" s="446" t="s">
        <v>800</v>
      </c>
      <c r="C5" s="416" t="str">
        <f>'Gross margin summary'!L15</f>
        <v>GM9</v>
      </c>
      <c r="D5" s="417"/>
      <c r="E5" s="446"/>
    </row>
    <row r="7" spans="1:28" ht="18" customHeight="1" x14ac:dyDescent="0.2">
      <c r="A7" s="1"/>
      <c r="B7" s="1"/>
      <c r="C7" s="1"/>
      <c r="D7" s="1"/>
      <c r="E7" s="1"/>
      <c r="F7" s="1"/>
      <c r="G7" s="1"/>
      <c r="H7" s="1"/>
      <c r="I7" s="1"/>
      <c r="J7" s="1"/>
      <c r="K7" s="1"/>
      <c r="L7" s="1"/>
      <c r="M7" s="1"/>
      <c r="N7" s="1"/>
      <c r="O7" s="1"/>
      <c r="P7" s="1"/>
      <c r="Q7" s="1"/>
      <c r="R7" s="1"/>
      <c r="S7" s="1"/>
      <c r="T7" s="1"/>
      <c r="U7" s="1"/>
      <c r="V7" s="1"/>
      <c r="W7" s="1"/>
      <c r="X7" s="1"/>
      <c r="Y7" s="1"/>
      <c r="Z7" s="1"/>
      <c r="AA7" s="6"/>
    </row>
    <row r="8" spans="1:28" ht="18" customHeight="1" x14ac:dyDescent="0.2">
      <c r="A8" s="1"/>
      <c r="B8" s="1"/>
      <c r="C8" s="12" t="s">
        <v>689</v>
      </c>
      <c r="D8" s="546">
        <v>100</v>
      </c>
      <c r="E8" s="1" t="s">
        <v>1000</v>
      </c>
      <c r="L8" s="1"/>
      <c r="M8" s="1"/>
      <c r="O8" s="1"/>
      <c r="P8" s="1"/>
      <c r="Q8" s="1"/>
      <c r="R8" s="1"/>
      <c r="S8" s="1"/>
      <c r="T8" s="1"/>
      <c r="U8" s="1"/>
      <c r="V8" s="1"/>
      <c r="W8" s="1"/>
      <c r="X8" s="1"/>
      <c r="Y8" s="1"/>
      <c r="Z8" s="1"/>
      <c r="AA8" s="6"/>
    </row>
    <row r="9" spans="1:28" ht="18" customHeight="1" x14ac:dyDescent="0.2">
      <c r="A9" s="1"/>
      <c r="B9" s="1"/>
      <c r="C9" s="12" t="s">
        <v>373</v>
      </c>
      <c r="D9" s="546">
        <v>100</v>
      </c>
      <c r="E9" s="419" t="s">
        <v>1000</v>
      </c>
      <c r="F9" s="12"/>
      <c r="G9"/>
      <c r="H9"/>
      <c r="I9"/>
      <c r="J9"/>
      <c r="K9"/>
      <c r="L9" s="1"/>
      <c r="M9" s="1"/>
      <c r="O9" s="1"/>
      <c r="P9" s="1"/>
      <c r="Q9" s="443" t="s">
        <v>645</v>
      </c>
      <c r="R9" s="443"/>
      <c r="S9" s="443"/>
      <c r="T9" s="1"/>
      <c r="U9" s="1"/>
      <c r="V9" s="1"/>
      <c r="W9" s="1"/>
      <c r="X9" s="1"/>
      <c r="Y9" s="1"/>
      <c r="Z9" s="1"/>
      <c r="AA9" s="6"/>
    </row>
    <row r="10" spans="1:28" ht="18" customHeight="1" x14ac:dyDescent="0.2">
      <c r="A10" s="1"/>
      <c r="B10" s="1"/>
      <c r="C10" s="12" t="s">
        <v>690</v>
      </c>
      <c r="D10" s="421">
        <f>IF(D9&lt;=0,0,D9/D8)</f>
        <v>1</v>
      </c>
      <c r="F10" s="12"/>
      <c r="G10"/>
      <c r="H10"/>
      <c r="I10"/>
      <c r="J10"/>
      <c r="K10"/>
      <c r="L10" s="1"/>
      <c r="M10" s="1"/>
      <c r="O10" s="1"/>
      <c r="P10" s="1"/>
      <c r="Q10" s="1"/>
      <c r="R10" s="1"/>
      <c r="S10" s="1"/>
      <c r="T10" s="1"/>
      <c r="U10" s="1"/>
      <c r="V10" s="1"/>
      <c r="W10" s="1"/>
      <c r="X10" s="1"/>
      <c r="Y10" s="1"/>
      <c r="Z10" s="1"/>
      <c r="AA10" s="6"/>
    </row>
    <row r="11" spans="1:28" ht="18" customHeight="1" x14ac:dyDescent="0.25">
      <c r="A11" s="1"/>
      <c r="B11" s="1"/>
      <c r="C11" s="12"/>
      <c r="D11"/>
      <c r="E11" s="1"/>
      <c r="F11" s="12"/>
      <c r="G11"/>
      <c r="H11"/>
      <c r="I11"/>
      <c r="J11"/>
      <c r="K11"/>
      <c r="L11" s="1"/>
      <c r="M11" s="1"/>
      <c r="O11" s="1"/>
      <c r="P11" s="1"/>
      <c r="R11" s="544"/>
      <c r="S11" s="477" t="s">
        <v>698</v>
      </c>
      <c r="T11" s="477" t="s">
        <v>699</v>
      </c>
      <c r="U11" s="477" t="s">
        <v>700</v>
      </c>
      <c r="V11" s="477" t="s">
        <v>701</v>
      </c>
      <c r="W11" s="477" t="s">
        <v>702</v>
      </c>
      <c r="X11" s="477" t="s">
        <v>703</v>
      </c>
      <c r="Y11" s="1"/>
      <c r="Z11" s="424" t="s">
        <v>857</v>
      </c>
      <c r="AA11" s="425"/>
      <c r="AB11" s="6"/>
    </row>
    <row r="12" spans="1:28" ht="18" customHeight="1" x14ac:dyDescent="0.2">
      <c r="A12" s="1"/>
      <c r="B12" s="1"/>
      <c r="C12" s="1"/>
      <c r="D12" s="1"/>
      <c r="E12" s="1"/>
      <c r="F12" s="1"/>
      <c r="G12" s="1"/>
      <c r="H12" s="1"/>
      <c r="I12" s="1"/>
      <c r="J12" s="1"/>
      <c r="K12" s="1"/>
      <c r="L12" s="1"/>
      <c r="M12" s="423"/>
      <c r="N12" s="1"/>
      <c r="O12" s="1"/>
      <c r="P12" s="1"/>
      <c r="Q12" s="583" t="s">
        <v>646</v>
      </c>
      <c r="R12" s="584"/>
      <c r="S12" s="429">
        <f>F16</f>
        <v>0</v>
      </c>
      <c r="T12" s="429">
        <f>F17</f>
        <v>0</v>
      </c>
      <c r="U12" s="429">
        <f>F18</f>
        <v>0</v>
      </c>
      <c r="V12" s="429">
        <f>F19</f>
        <v>0</v>
      </c>
      <c r="W12" s="429">
        <f>F20</f>
        <v>0</v>
      </c>
      <c r="X12" s="429">
        <f>F21</f>
        <v>0</v>
      </c>
      <c r="Z12" s="427" t="s">
        <v>858</v>
      </c>
      <c r="AA12" s="427"/>
      <c r="AB12" s="6"/>
    </row>
    <row r="13" spans="1:28" ht="18" customHeight="1" x14ac:dyDescent="0.25">
      <c r="A13" s="1"/>
      <c r="B13" s="5" t="s">
        <v>691</v>
      </c>
      <c r="C13" s="1"/>
      <c r="D13" s="426" t="s">
        <v>376</v>
      </c>
      <c r="E13" s="426"/>
      <c r="F13" s="426"/>
      <c r="G13" s="426"/>
      <c r="H13" s="1"/>
      <c r="I13" s="1"/>
      <c r="J13" s="1"/>
      <c r="K13" s="1"/>
      <c r="L13" s="1"/>
      <c r="M13" s="1"/>
      <c r="N13" s="1"/>
      <c r="O13" s="1"/>
      <c r="P13" s="1"/>
      <c r="Q13" s="583" t="s">
        <v>647</v>
      </c>
      <c r="R13" s="584"/>
      <c r="S13" s="478">
        <v>0</v>
      </c>
      <c r="T13" s="478">
        <v>0</v>
      </c>
      <c r="U13" s="478">
        <v>0</v>
      </c>
      <c r="V13" s="478">
        <v>0</v>
      </c>
      <c r="W13" s="478">
        <v>0</v>
      </c>
      <c r="X13" s="478">
        <v>0</v>
      </c>
      <c r="Z13" s="428" t="s">
        <v>859</v>
      </c>
      <c r="AA13" s="419"/>
      <c r="AB13" s="6"/>
    </row>
    <row r="14" spans="1:28" ht="18" customHeight="1" x14ac:dyDescent="0.25">
      <c r="A14" s="1"/>
      <c r="B14" s="1"/>
      <c r="C14" s="1"/>
      <c r="D14" s="1"/>
      <c r="E14" s="1"/>
      <c r="F14" s="1"/>
      <c r="G14" s="1"/>
      <c r="H14" s="1"/>
      <c r="I14" s="1"/>
      <c r="J14" s="1"/>
      <c r="K14" s="1"/>
      <c r="L14" s="1"/>
      <c r="M14" s="1"/>
      <c r="N14" s="1"/>
      <c r="O14" s="1"/>
      <c r="P14" s="1"/>
      <c r="Q14" s="583" t="s">
        <v>648</v>
      </c>
      <c r="R14" s="584"/>
      <c r="S14" s="409">
        <f t="shared" ref="S14:X14" si="0">S12*(1-S13)</f>
        <v>0</v>
      </c>
      <c r="T14" s="409">
        <f t="shared" si="0"/>
        <v>0</v>
      </c>
      <c r="U14" s="409">
        <f t="shared" si="0"/>
        <v>0</v>
      </c>
      <c r="V14" s="409">
        <f t="shared" si="0"/>
        <v>0</v>
      </c>
      <c r="W14" s="409">
        <f t="shared" si="0"/>
        <v>0</v>
      </c>
      <c r="X14" s="409">
        <f t="shared" si="0"/>
        <v>0</v>
      </c>
      <c r="Z14" s="430" t="s">
        <v>492</v>
      </c>
      <c r="AA14" s="430" t="s">
        <v>493</v>
      </c>
      <c r="AB14" s="6"/>
    </row>
    <row r="15" spans="1:28" ht="30.75" x14ac:dyDescent="0.25">
      <c r="A15" s="1"/>
      <c r="B15" s="1"/>
      <c r="C15" s="407" t="s">
        <v>377</v>
      </c>
      <c r="D15" s="407" t="s">
        <v>692</v>
      </c>
      <c r="E15" s="407" t="s">
        <v>391</v>
      </c>
      <c r="F15" s="407" t="s">
        <v>693</v>
      </c>
      <c r="G15" s="407" t="s">
        <v>694</v>
      </c>
      <c r="H15" s="407" t="s">
        <v>695</v>
      </c>
      <c r="I15" s="407" t="s">
        <v>559</v>
      </c>
      <c r="J15" s="407" t="s">
        <v>560</v>
      </c>
      <c r="K15" s="407" t="s">
        <v>696</v>
      </c>
      <c r="L15" s="407" t="s">
        <v>697</v>
      </c>
      <c r="M15"/>
      <c r="N15"/>
      <c r="Q15" s="583" t="s">
        <v>682</v>
      </c>
      <c r="R15" s="584"/>
      <c r="S15" s="445"/>
      <c r="T15" s="445"/>
      <c r="U15" s="445"/>
      <c r="V15" s="445"/>
      <c r="W15" s="445"/>
      <c r="X15" s="445"/>
      <c r="Z15" s="434" t="s">
        <v>494</v>
      </c>
      <c r="AA15" s="434" t="s">
        <v>495</v>
      </c>
      <c r="AB15" s="6"/>
    </row>
    <row r="16" spans="1:28" ht="18" customHeight="1" x14ac:dyDescent="0.25">
      <c r="A16" s="1"/>
      <c r="B16" s="1" t="s">
        <v>698</v>
      </c>
      <c r="C16" s="431"/>
      <c r="D16" s="557"/>
      <c r="E16" s="480"/>
      <c r="F16" s="203"/>
      <c r="G16" s="433">
        <f t="shared" ref="G16:G21" si="1">F16*E16</f>
        <v>0</v>
      </c>
      <c r="H16" s="411">
        <f t="shared" ref="H16:H21" si="2">G16*D16</f>
        <v>0</v>
      </c>
      <c r="I16" s="413">
        <f t="shared" ref="I16:I21" si="3">D16/$D$8</f>
        <v>0</v>
      </c>
      <c r="J16" s="413">
        <f t="shared" ref="J16:J21" si="4">IF(D16&lt;=0,0,$D$8/D16)</f>
        <v>0</v>
      </c>
      <c r="K16" s="413">
        <f t="shared" ref="K16:K21" si="5">D16/$D$9</f>
        <v>0</v>
      </c>
      <c r="L16" s="413">
        <f t="shared" ref="L16:L21" si="6">IF(D16&lt;=0,0,$D$9/D16)</f>
        <v>0</v>
      </c>
      <c r="M16"/>
      <c r="N16"/>
      <c r="Q16" s="583" t="s">
        <v>683</v>
      </c>
      <c r="R16" s="584"/>
      <c r="S16" s="433">
        <f t="shared" ref="S16:X16" si="7">S15*S14</f>
        <v>0</v>
      </c>
      <c r="T16" s="433">
        <f t="shared" si="7"/>
        <v>0</v>
      </c>
      <c r="U16" s="433">
        <f t="shared" si="7"/>
        <v>0</v>
      </c>
      <c r="V16" s="433">
        <f t="shared" si="7"/>
        <v>0</v>
      </c>
      <c r="W16" s="433">
        <f t="shared" si="7"/>
        <v>0</v>
      </c>
      <c r="X16" s="433">
        <f t="shared" si="7"/>
        <v>0</v>
      </c>
      <c r="Z16" s="437">
        <v>250</v>
      </c>
      <c r="AA16" s="437">
        <v>38</v>
      </c>
      <c r="AB16" s="6"/>
    </row>
    <row r="17" spans="1:28" ht="18" customHeight="1" x14ac:dyDescent="0.2">
      <c r="A17" s="1"/>
      <c r="B17" s="1" t="s">
        <v>699</v>
      </c>
      <c r="C17" s="431"/>
      <c r="D17" s="435"/>
      <c r="E17" s="436"/>
      <c r="F17" s="432"/>
      <c r="G17" s="433">
        <f t="shared" si="1"/>
        <v>0</v>
      </c>
      <c r="H17" s="411">
        <f t="shared" si="2"/>
        <v>0</v>
      </c>
      <c r="I17" s="413">
        <f t="shared" si="3"/>
        <v>0</v>
      </c>
      <c r="J17" s="413">
        <f t="shared" si="4"/>
        <v>0</v>
      </c>
      <c r="K17" s="413">
        <f t="shared" si="5"/>
        <v>0</v>
      </c>
      <c r="L17" s="413">
        <f t="shared" si="6"/>
        <v>0</v>
      </c>
      <c r="M17"/>
      <c r="N17"/>
      <c r="Q17" s="583" t="s">
        <v>651</v>
      </c>
      <c r="R17" s="584"/>
      <c r="S17" s="478">
        <v>3.5000000000000003E-2</v>
      </c>
      <c r="T17" s="478"/>
      <c r="U17" s="478"/>
      <c r="V17" s="478"/>
      <c r="W17" s="478"/>
      <c r="X17" s="478"/>
      <c r="Z17" s="438">
        <v>300</v>
      </c>
      <c r="AA17" s="438">
        <v>34</v>
      </c>
      <c r="AB17" s="6"/>
    </row>
    <row r="18" spans="1:28" ht="18" customHeight="1" x14ac:dyDescent="0.2">
      <c r="A18" s="1"/>
      <c r="B18" s="1" t="s">
        <v>700</v>
      </c>
      <c r="C18" s="431"/>
      <c r="D18" s="435"/>
      <c r="E18" s="436"/>
      <c r="F18" s="432"/>
      <c r="G18" s="433">
        <f t="shared" si="1"/>
        <v>0</v>
      </c>
      <c r="H18" s="411">
        <f t="shared" si="2"/>
        <v>0</v>
      </c>
      <c r="I18" s="413">
        <f t="shared" si="3"/>
        <v>0</v>
      </c>
      <c r="J18" s="413">
        <f t="shared" si="4"/>
        <v>0</v>
      </c>
      <c r="K18" s="413">
        <f t="shared" si="5"/>
        <v>0</v>
      </c>
      <c r="L18" s="413">
        <f t="shared" si="6"/>
        <v>0</v>
      </c>
      <c r="Q18" s="583" t="s">
        <v>684</v>
      </c>
      <c r="R18" s="584"/>
      <c r="S18" s="433">
        <f t="shared" ref="S18:X18" si="8">S17*S16</f>
        <v>0</v>
      </c>
      <c r="T18" s="433">
        <f t="shared" si="8"/>
        <v>0</v>
      </c>
      <c r="U18" s="433">
        <f t="shared" si="8"/>
        <v>0</v>
      </c>
      <c r="V18" s="433">
        <f t="shared" si="8"/>
        <v>0</v>
      </c>
      <c r="W18" s="433">
        <f t="shared" si="8"/>
        <v>0</v>
      </c>
      <c r="X18" s="433">
        <f t="shared" si="8"/>
        <v>0</v>
      </c>
      <c r="Z18" s="438">
        <v>350</v>
      </c>
      <c r="AA18" s="438">
        <v>30</v>
      </c>
      <c r="AB18" s="6"/>
    </row>
    <row r="19" spans="1:28" ht="18" customHeight="1" x14ac:dyDescent="0.2">
      <c r="A19" s="1"/>
      <c r="B19" s="1" t="s">
        <v>701</v>
      </c>
      <c r="C19" s="431"/>
      <c r="D19" s="435"/>
      <c r="E19" s="436"/>
      <c r="F19" s="432"/>
      <c r="G19" s="433">
        <f t="shared" si="1"/>
        <v>0</v>
      </c>
      <c r="H19" s="411">
        <f t="shared" si="2"/>
        <v>0</v>
      </c>
      <c r="I19" s="413">
        <f t="shared" si="3"/>
        <v>0</v>
      </c>
      <c r="J19" s="413">
        <f t="shared" si="4"/>
        <v>0</v>
      </c>
      <c r="K19" s="413">
        <f t="shared" si="5"/>
        <v>0</v>
      </c>
      <c r="L19" s="413">
        <f t="shared" si="6"/>
        <v>0</v>
      </c>
      <c r="Q19" s="583" t="s">
        <v>653</v>
      </c>
      <c r="R19" s="584"/>
      <c r="S19" s="445"/>
      <c r="T19" s="445"/>
      <c r="U19" s="445"/>
      <c r="V19" s="445"/>
      <c r="W19" s="445"/>
      <c r="X19" s="445"/>
      <c r="Z19" s="438">
        <v>400</v>
      </c>
      <c r="AA19" s="438">
        <v>28</v>
      </c>
      <c r="AB19" s="6"/>
    </row>
    <row r="20" spans="1:28" ht="18" customHeight="1" x14ac:dyDescent="0.2">
      <c r="A20" s="1"/>
      <c r="B20" s="1" t="s">
        <v>702</v>
      </c>
      <c r="C20" s="431"/>
      <c r="D20" s="435"/>
      <c r="E20" s="436"/>
      <c r="F20" s="432"/>
      <c r="G20" s="433">
        <f t="shared" si="1"/>
        <v>0</v>
      </c>
      <c r="H20" s="411">
        <f t="shared" si="2"/>
        <v>0</v>
      </c>
      <c r="I20" s="413">
        <f t="shared" si="3"/>
        <v>0</v>
      </c>
      <c r="J20" s="413">
        <f t="shared" si="4"/>
        <v>0</v>
      </c>
      <c r="K20" s="413">
        <f t="shared" si="5"/>
        <v>0</v>
      </c>
      <c r="L20" s="413">
        <f t="shared" si="6"/>
        <v>0</v>
      </c>
      <c r="Q20" s="583" t="s">
        <v>685</v>
      </c>
      <c r="R20" s="584"/>
      <c r="S20" s="445"/>
      <c r="T20" s="445"/>
      <c r="U20" s="445"/>
      <c r="V20" s="445"/>
      <c r="W20" s="445"/>
      <c r="X20" s="445"/>
      <c r="Z20" s="438">
        <v>450</v>
      </c>
      <c r="AA20" s="438">
        <v>26</v>
      </c>
      <c r="AB20" s="6"/>
    </row>
    <row r="21" spans="1:28" ht="18" customHeight="1" x14ac:dyDescent="0.2">
      <c r="A21" s="1"/>
      <c r="B21" s="1" t="s">
        <v>703</v>
      </c>
      <c r="C21" s="431"/>
      <c r="D21" s="435"/>
      <c r="E21" s="436"/>
      <c r="F21" s="432"/>
      <c r="G21" s="433">
        <f t="shared" si="1"/>
        <v>0</v>
      </c>
      <c r="H21" s="411">
        <f t="shared" si="2"/>
        <v>0</v>
      </c>
      <c r="I21" s="413">
        <f t="shared" si="3"/>
        <v>0</v>
      </c>
      <c r="J21" s="413">
        <f t="shared" si="4"/>
        <v>0</v>
      </c>
      <c r="K21" s="413">
        <f t="shared" si="5"/>
        <v>0</v>
      </c>
      <c r="L21" s="413">
        <f t="shared" si="6"/>
        <v>0</v>
      </c>
      <c r="Q21" s="583" t="s">
        <v>655</v>
      </c>
      <c r="R21" s="584"/>
      <c r="S21" s="433">
        <f t="shared" ref="S21:X21" si="9">S16-S18-S19-S20</f>
        <v>0</v>
      </c>
      <c r="T21" s="433">
        <f t="shared" si="9"/>
        <v>0</v>
      </c>
      <c r="U21" s="433">
        <f t="shared" si="9"/>
        <v>0</v>
      </c>
      <c r="V21" s="433">
        <f t="shared" si="9"/>
        <v>0</v>
      </c>
      <c r="W21" s="433">
        <f t="shared" si="9"/>
        <v>0</v>
      </c>
      <c r="X21" s="433">
        <f t="shared" si="9"/>
        <v>0</v>
      </c>
      <c r="Z21" s="438">
        <v>500</v>
      </c>
      <c r="AA21" s="438">
        <v>24</v>
      </c>
      <c r="AB21" s="6"/>
    </row>
    <row r="22" spans="1:28" ht="18" customHeight="1" thickBot="1" x14ac:dyDescent="0.25">
      <c r="A22" s="1"/>
      <c r="B22" s="1"/>
      <c r="C22" s="1"/>
      <c r="D22" s="1"/>
      <c r="E22" s="1"/>
      <c r="F22" s="439">
        <f>SUMPRODUCT(D16:D21,F16:F21)</f>
        <v>0</v>
      </c>
      <c r="G22" s="1"/>
      <c r="H22" s="440">
        <f>SUM(H16:H21)</f>
        <v>0</v>
      </c>
      <c r="I22" s="1"/>
      <c r="J22" s="1"/>
      <c r="K22" s="1"/>
      <c r="L22" s="1"/>
      <c r="Q22" s="583" t="s">
        <v>656</v>
      </c>
      <c r="R22" s="584"/>
      <c r="S22" s="409">
        <f t="shared" ref="S22:X22" si="10">S12</f>
        <v>0</v>
      </c>
      <c r="T22" s="409">
        <f t="shared" si="10"/>
        <v>0</v>
      </c>
      <c r="U22" s="409">
        <f t="shared" si="10"/>
        <v>0</v>
      </c>
      <c r="V22" s="409">
        <f t="shared" si="10"/>
        <v>0</v>
      </c>
      <c r="W22" s="409">
        <f t="shared" si="10"/>
        <v>0</v>
      </c>
      <c r="X22" s="409">
        <f t="shared" si="10"/>
        <v>0</v>
      </c>
      <c r="Z22" s="438">
        <v>550</v>
      </c>
      <c r="AA22" s="438">
        <v>22</v>
      </c>
      <c r="AB22" s="6"/>
    </row>
    <row r="23" spans="1:28" ht="18" customHeight="1" thickTop="1" x14ac:dyDescent="0.2">
      <c r="A23" s="1"/>
      <c r="B23" s="1"/>
      <c r="C23" s="1"/>
      <c r="D23" s="1"/>
      <c r="E23" s="1"/>
      <c r="F23" s="1"/>
      <c r="G23" s="1"/>
      <c r="H23" s="1"/>
      <c r="I23" s="1"/>
      <c r="J23" s="1"/>
      <c r="K23" s="1"/>
      <c r="L23" s="1"/>
      <c r="M23" s="1"/>
      <c r="N23" s="1"/>
      <c r="O23" s="1"/>
      <c r="P23" s="1"/>
      <c r="Q23" s="583" t="s">
        <v>686</v>
      </c>
      <c r="R23" s="584"/>
      <c r="S23" s="433">
        <f t="shared" ref="S23:X23" si="11">IF(S14&gt;0,(S18+S19+S20)/S14,0)</f>
        <v>0</v>
      </c>
      <c r="T23" s="433">
        <f t="shared" si="11"/>
        <v>0</v>
      </c>
      <c r="U23" s="433">
        <f t="shared" si="11"/>
        <v>0</v>
      </c>
      <c r="V23" s="433">
        <f t="shared" si="11"/>
        <v>0</v>
      </c>
      <c r="W23" s="433">
        <f t="shared" si="11"/>
        <v>0</v>
      </c>
      <c r="X23" s="433">
        <f t="shared" si="11"/>
        <v>0</v>
      </c>
      <c r="Z23" s="438">
        <v>600</v>
      </c>
      <c r="AA23" s="438">
        <v>20</v>
      </c>
      <c r="AB23" s="6"/>
    </row>
    <row r="24" spans="1:28" ht="18" customHeight="1" x14ac:dyDescent="0.2">
      <c r="A24" s="1"/>
      <c r="C24" s="1"/>
      <c r="D24" s="1"/>
      <c r="E24" s="1"/>
      <c r="F24" s="1"/>
      <c r="G24" s="1"/>
      <c r="H24" s="1"/>
      <c r="I24" s="1"/>
      <c r="J24" s="1"/>
      <c r="K24" s="1"/>
      <c r="L24" s="1"/>
      <c r="M24" s="1"/>
      <c r="N24" s="1"/>
      <c r="O24" s="1"/>
      <c r="P24" s="1"/>
      <c r="Q24" s="583" t="s">
        <v>687</v>
      </c>
      <c r="R24" s="584"/>
      <c r="S24" s="433">
        <f t="shared" ref="S24:X24" si="12">IF(S22&gt;0,S21/S22,0)</f>
        <v>0</v>
      </c>
      <c r="T24" s="433">
        <f t="shared" si="12"/>
        <v>0</v>
      </c>
      <c r="U24" s="433">
        <f t="shared" si="12"/>
        <v>0</v>
      </c>
      <c r="V24" s="433">
        <f t="shared" si="12"/>
        <v>0</v>
      </c>
      <c r="W24" s="433">
        <f t="shared" si="12"/>
        <v>0</v>
      </c>
      <c r="X24" s="433">
        <f t="shared" si="12"/>
        <v>0</v>
      </c>
      <c r="Z24" s="438">
        <v>650</v>
      </c>
      <c r="AA24" s="438">
        <v>18</v>
      </c>
      <c r="AB24" s="6"/>
    </row>
    <row r="25" spans="1:28" customFormat="1" ht="18" customHeight="1" x14ac:dyDescent="0.2"/>
    <row r="26" spans="1:28" customFormat="1" ht="18" customHeight="1" x14ac:dyDescent="0.25">
      <c r="B26" s="5" t="s">
        <v>390</v>
      </c>
      <c r="C26" s="419"/>
      <c r="D26" s="193"/>
      <c r="E26" s="193"/>
      <c r="F26" s="193"/>
      <c r="G26" s="193"/>
      <c r="H26" s="193"/>
      <c r="I26" s="193"/>
      <c r="J26" s="419"/>
      <c r="K26" s="419"/>
      <c r="L26" s="245"/>
    </row>
    <row r="27" spans="1:28" customFormat="1" ht="18" customHeight="1" x14ac:dyDescent="0.25">
      <c r="B27" s="446"/>
      <c r="C27" s="255"/>
      <c r="D27" s="193"/>
      <c r="E27" s="193"/>
      <c r="F27" s="193"/>
      <c r="G27" s="193"/>
      <c r="H27" s="193"/>
      <c r="I27" s="193"/>
      <c r="J27" s="193"/>
      <c r="K27" s="419"/>
      <c r="L27" s="245"/>
    </row>
    <row r="28" spans="1:28" customFormat="1" ht="30.75" x14ac:dyDescent="0.25">
      <c r="C28" s="407" t="s">
        <v>866</v>
      </c>
      <c r="D28" s="407" t="s">
        <v>867</v>
      </c>
      <c r="E28" s="407" t="s">
        <v>384</v>
      </c>
      <c r="F28" s="408" t="s">
        <v>716</v>
      </c>
      <c r="G28" s="408" t="s">
        <v>385</v>
      </c>
      <c r="H28" s="408" t="s">
        <v>386</v>
      </c>
      <c r="I28" s="407" t="s">
        <v>387</v>
      </c>
      <c r="J28" s="407" t="s">
        <v>389</v>
      </c>
      <c r="K28" s="407" t="s">
        <v>688</v>
      </c>
      <c r="L28" s="407" t="s">
        <v>388</v>
      </c>
      <c r="Z28" s="446" t="s">
        <v>375</v>
      </c>
      <c r="AA28" s="419"/>
    </row>
    <row r="29" spans="1:28" customFormat="1" ht="18" customHeight="1" x14ac:dyDescent="0.2">
      <c r="B29" s="1" t="s">
        <v>698</v>
      </c>
      <c r="C29" s="409">
        <f t="shared" ref="C29:C34" si="13">D16</f>
        <v>0</v>
      </c>
      <c r="D29" s="409">
        <f t="shared" ref="D29:D34" si="14">F16</f>
        <v>0</v>
      </c>
      <c r="E29" s="450"/>
      <c r="F29" s="451"/>
      <c r="G29" s="450"/>
      <c r="H29" s="411">
        <f t="shared" ref="H29:H34" si="15">IF(C29&gt;0,C29*E29*F29/G29,0)</f>
        <v>0</v>
      </c>
      <c r="I29" s="433">
        <f t="shared" ref="I29:I34" si="16">IF(C29&gt;0,H29/C29,0)</f>
        <v>0</v>
      </c>
      <c r="J29" s="549">
        <v>0</v>
      </c>
      <c r="K29" s="549">
        <v>0</v>
      </c>
      <c r="L29" s="433">
        <f t="shared" ref="L29:L34" si="17">K29*C29</f>
        <v>0</v>
      </c>
      <c r="Z29" s="419"/>
      <c r="AA29" s="419"/>
    </row>
    <row r="30" spans="1:28" customFormat="1" ht="18" customHeight="1" x14ac:dyDescent="0.25">
      <c r="B30" s="1" t="s">
        <v>699</v>
      </c>
      <c r="C30" s="409">
        <f t="shared" si="13"/>
        <v>0</v>
      </c>
      <c r="D30" s="409">
        <f t="shared" si="14"/>
        <v>0</v>
      </c>
      <c r="E30" s="450"/>
      <c r="F30" s="451"/>
      <c r="G30" s="450"/>
      <c r="H30" s="411">
        <f t="shared" si="15"/>
        <v>0</v>
      </c>
      <c r="I30" s="433">
        <f t="shared" si="16"/>
        <v>0</v>
      </c>
      <c r="J30" s="549">
        <v>0</v>
      </c>
      <c r="K30" s="549">
        <v>0</v>
      </c>
      <c r="L30" s="433">
        <f t="shared" si="17"/>
        <v>0</v>
      </c>
      <c r="Z30" s="362" t="s">
        <v>374</v>
      </c>
      <c r="AA30" s="548">
        <f>D16</f>
        <v>0</v>
      </c>
    </row>
    <row r="31" spans="1:28" customFormat="1" ht="18" customHeight="1" x14ac:dyDescent="0.25">
      <c r="B31" s="1" t="s">
        <v>700</v>
      </c>
      <c r="C31" s="409">
        <f t="shared" si="13"/>
        <v>0</v>
      </c>
      <c r="D31" s="409">
        <f t="shared" si="14"/>
        <v>0</v>
      </c>
      <c r="E31" s="450"/>
      <c r="F31" s="451"/>
      <c r="G31" s="450"/>
      <c r="H31" s="411">
        <f t="shared" si="15"/>
        <v>0</v>
      </c>
      <c r="I31" s="433">
        <f t="shared" si="16"/>
        <v>0</v>
      </c>
      <c r="J31" s="549">
        <v>0</v>
      </c>
      <c r="K31" s="549">
        <v>0</v>
      </c>
      <c r="L31" s="433">
        <f t="shared" si="17"/>
        <v>0</v>
      </c>
      <c r="Z31" s="362" t="s">
        <v>868</v>
      </c>
      <c r="AA31" s="256">
        <v>200</v>
      </c>
    </row>
    <row r="32" spans="1:28" customFormat="1" ht="18" customHeight="1" x14ac:dyDescent="0.25">
      <c r="B32" s="1" t="s">
        <v>701</v>
      </c>
      <c r="C32" s="409">
        <f t="shared" si="13"/>
        <v>0</v>
      </c>
      <c r="D32" s="409">
        <f t="shared" si="14"/>
        <v>0</v>
      </c>
      <c r="E32" s="450"/>
      <c r="F32" s="451"/>
      <c r="G32" s="450"/>
      <c r="H32" s="411">
        <f t="shared" si="15"/>
        <v>0</v>
      </c>
      <c r="I32" s="433">
        <f t="shared" si="16"/>
        <v>0</v>
      </c>
      <c r="J32" s="549">
        <v>0</v>
      </c>
      <c r="K32" s="549">
        <v>0</v>
      </c>
      <c r="L32" s="433">
        <f t="shared" si="17"/>
        <v>0</v>
      </c>
      <c r="Z32" s="362" t="s">
        <v>869</v>
      </c>
      <c r="AA32" s="257">
        <v>2</v>
      </c>
    </row>
    <row r="33" spans="1:38" customFormat="1" ht="18" customHeight="1" x14ac:dyDescent="0.25">
      <c r="B33" s="1" t="s">
        <v>702</v>
      </c>
      <c r="C33" s="409">
        <f t="shared" si="13"/>
        <v>0</v>
      </c>
      <c r="D33" s="409">
        <f t="shared" si="14"/>
        <v>0</v>
      </c>
      <c r="E33" s="450"/>
      <c r="F33" s="451"/>
      <c r="G33" s="450"/>
      <c r="H33" s="411">
        <f t="shared" si="15"/>
        <v>0</v>
      </c>
      <c r="I33" s="433">
        <f t="shared" si="16"/>
        <v>0</v>
      </c>
      <c r="J33" s="549">
        <v>0</v>
      </c>
      <c r="K33" s="549">
        <v>0</v>
      </c>
      <c r="L33" s="433">
        <f t="shared" si="17"/>
        <v>0</v>
      </c>
      <c r="Z33" s="362" t="s">
        <v>870</v>
      </c>
      <c r="AA33" s="256">
        <v>28</v>
      </c>
    </row>
    <row r="34" spans="1:38" customFormat="1" ht="18" customHeight="1" x14ac:dyDescent="0.25">
      <c r="B34" s="1" t="s">
        <v>703</v>
      </c>
      <c r="C34" s="409">
        <f t="shared" si="13"/>
        <v>0</v>
      </c>
      <c r="D34" s="409">
        <f t="shared" si="14"/>
        <v>0</v>
      </c>
      <c r="E34" s="450"/>
      <c r="F34" s="451"/>
      <c r="G34" s="450"/>
      <c r="H34" s="411">
        <f t="shared" si="15"/>
        <v>0</v>
      </c>
      <c r="I34" s="433">
        <f t="shared" si="16"/>
        <v>0</v>
      </c>
      <c r="J34" s="549">
        <v>0</v>
      </c>
      <c r="K34" s="549">
        <v>0</v>
      </c>
      <c r="L34" s="433">
        <f t="shared" si="17"/>
        <v>0</v>
      </c>
      <c r="Z34" s="362" t="s">
        <v>993</v>
      </c>
      <c r="AA34" s="411">
        <f>IF(AA30&gt;0,AA30*AA31*AA32/AA33,0)</f>
        <v>0</v>
      </c>
    </row>
    <row r="35" spans="1:38" customFormat="1" ht="18" customHeight="1" thickBot="1" x14ac:dyDescent="0.3">
      <c r="B35" s="419"/>
      <c r="C35" s="419"/>
      <c r="D35" s="419"/>
      <c r="E35" s="419"/>
      <c r="F35" s="419"/>
      <c r="G35" s="419"/>
      <c r="H35" s="440">
        <f>SUM(H29:H34)</f>
        <v>0</v>
      </c>
      <c r="I35" s="419"/>
      <c r="J35" s="440">
        <f>SUM(J29:J34)</f>
        <v>0</v>
      </c>
      <c r="K35" s="419"/>
      <c r="L35" s="440">
        <f>SUM(L29:L34)</f>
        <v>0</v>
      </c>
      <c r="Z35" s="362" t="s">
        <v>871</v>
      </c>
      <c r="AA35" s="433">
        <f>IF(AA30&gt;0,AA34/AA30,0)</f>
        <v>0</v>
      </c>
    </row>
    <row r="36" spans="1:38" customFormat="1" ht="18" customHeight="1" thickTop="1" x14ac:dyDescent="0.2"/>
    <row r="37" spans="1:38" customFormat="1" ht="18" customHeight="1" x14ac:dyDescent="0.2"/>
    <row r="38" spans="1:38" customFormat="1" ht="18" customHeight="1" x14ac:dyDescent="0.25">
      <c r="B38" s="5" t="s">
        <v>392</v>
      </c>
      <c r="C38" s="1"/>
      <c r="D38" s="1"/>
      <c r="E38" s="1"/>
      <c r="F38" s="1"/>
      <c r="G38" s="1"/>
      <c r="H38" s="1"/>
      <c r="I38" s="1"/>
      <c r="J38" s="1"/>
      <c r="K38" s="1"/>
      <c r="L38" s="419"/>
      <c r="M38" s="419"/>
      <c r="N38" s="419"/>
      <c r="O38" s="419"/>
      <c r="P38" s="419"/>
    </row>
    <row r="39" spans="1:38" ht="18" customHeight="1" x14ac:dyDescent="0.2">
      <c r="A39" s="1"/>
      <c r="B39" s="1"/>
      <c r="C39" s="1"/>
      <c r="D39" s="1"/>
      <c r="E39" s="1"/>
      <c r="F39" s="1"/>
      <c r="G39" s="1"/>
      <c r="H39" s="1"/>
      <c r="I39" s="1"/>
      <c r="J39" s="1"/>
      <c r="K39" s="1"/>
      <c r="Q39" s="1"/>
      <c r="R39" s="1"/>
      <c r="S39" s="1"/>
      <c r="T39" s="1"/>
      <c r="U39" s="1"/>
      <c r="V39" s="1"/>
      <c r="W39" s="1"/>
      <c r="X39" s="1"/>
      <c r="AA39" s="419"/>
    </row>
    <row r="40" spans="1:38" ht="28.5" customHeight="1" x14ac:dyDescent="0.2">
      <c r="A40" s="1"/>
      <c r="B40" s="1"/>
      <c r="C40" s="407" t="s">
        <v>720</v>
      </c>
      <c r="D40" s="408" t="s">
        <v>883</v>
      </c>
      <c r="E40" s="408" t="s">
        <v>884</v>
      </c>
      <c r="F40" s="408" t="s">
        <v>885</v>
      </c>
      <c r="G40" s="408" t="s">
        <v>886</v>
      </c>
      <c r="H40" s="408" t="s">
        <v>887</v>
      </c>
      <c r="I40" s="408" t="s">
        <v>888</v>
      </c>
      <c r="J40" s="408" t="s">
        <v>889</v>
      </c>
      <c r="K40" s="408" t="s">
        <v>395</v>
      </c>
      <c r="L40" s="408" t="s">
        <v>337</v>
      </c>
      <c r="M40" s="408" t="s">
        <v>993</v>
      </c>
      <c r="X40" s="1"/>
      <c r="Y40" s="1"/>
      <c r="AA40" s="419"/>
    </row>
    <row r="41" spans="1:38" ht="18" customHeight="1" x14ac:dyDescent="0.2">
      <c r="A41" s="1"/>
      <c r="B41" s="1" t="s">
        <v>698</v>
      </c>
      <c r="C41" s="409">
        <f t="shared" ref="C41:C46" si="18">D16</f>
        <v>0</v>
      </c>
      <c r="D41" s="410"/>
      <c r="E41" s="410"/>
      <c r="F41" s="410"/>
      <c r="G41" s="410"/>
      <c r="H41" s="410"/>
      <c r="I41" s="410"/>
      <c r="J41" s="410"/>
      <c r="K41" s="410"/>
      <c r="L41" s="410"/>
      <c r="M41" s="411">
        <f t="shared" ref="M41:M46" si="19">SUM(D41:L41)*C41</f>
        <v>0</v>
      </c>
      <c r="X41" s="1"/>
      <c r="AA41" s="419"/>
      <c r="AB41" s="419"/>
      <c r="AC41" s="419"/>
      <c r="AD41" s="419"/>
      <c r="AE41" s="419"/>
      <c r="AF41" s="419"/>
    </row>
    <row r="42" spans="1:38" ht="18" customHeight="1" x14ac:dyDescent="0.2">
      <c r="A42" s="1"/>
      <c r="B42" s="1" t="s">
        <v>699</v>
      </c>
      <c r="C42" s="409">
        <f t="shared" si="18"/>
        <v>0</v>
      </c>
      <c r="D42" s="410"/>
      <c r="E42" s="410"/>
      <c r="F42" s="410"/>
      <c r="G42" s="410"/>
      <c r="H42" s="410"/>
      <c r="I42" s="410"/>
      <c r="J42" s="410"/>
      <c r="K42" s="410"/>
      <c r="L42" s="410"/>
      <c r="M42" s="411">
        <f t="shared" si="19"/>
        <v>0</v>
      </c>
      <c r="X42" s="1"/>
      <c r="AA42" s="419"/>
      <c r="AB42" s="419"/>
      <c r="AC42" s="419"/>
      <c r="AD42" s="419"/>
      <c r="AE42" s="419"/>
      <c r="AF42" s="419"/>
    </row>
    <row r="43" spans="1:38" ht="18" customHeight="1" x14ac:dyDescent="0.2">
      <c r="A43" s="1"/>
      <c r="B43" s="1" t="s">
        <v>700</v>
      </c>
      <c r="C43" s="409">
        <f t="shared" si="18"/>
        <v>0</v>
      </c>
      <c r="D43" s="410"/>
      <c r="E43" s="410"/>
      <c r="F43" s="410"/>
      <c r="G43" s="410"/>
      <c r="H43" s="410"/>
      <c r="I43" s="410"/>
      <c r="J43" s="410"/>
      <c r="K43" s="410"/>
      <c r="L43" s="410"/>
      <c r="M43" s="411">
        <f t="shared" si="19"/>
        <v>0</v>
      </c>
      <c r="X43" s="1"/>
      <c r="AA43" s="419"/>
      <c r="AB43" s="419"/>
      <c r="AC43" s="419"/>
      <c r="AD43" s="419"/>
      <c r="AE43" s="419"/>
      <c r="AF43" s="419"/>
    </row>
    <row r="44" spans="1:38" ht="18" customHeight="1" x14ac:dyDescent="0.2">
      <c r="A44" s="1"/>
      <c r="B44" s="1" t="s">
        <v>701</v>
      </c>
      <c r="C44" s="409">
        <f t="shared" si="18"/>
        <v>0</v>
      </c>
      <c r="D44" s="410"/>
      <c r="E44" s="410"/>
      <c r="F44" s="410"/>
      <c r="G44" s="410"/>
      <c r="H44" s="410"/>
      <c r="I44" s="410"/>
      <c r="J44" s="410"/>
      <c r="K44" s="410"/>
      <c r="L44" s="410"/>
      <c r="M44" s="411">
        <f t="shared" si="19"/>
        <v>0</v>
      </c>
      <c r="X44" s="1"/>
      <c r="AA44" s="419"/>
      <c r="AB44" s="419"/>
      <c r="AC44" s="419"/>
      <c r="AD44" s="419"/>
      <c r="AE44" s="419"/>
      <c r="AF44" s="419"/>
    </row>
    <row r="45" spans="1:38" ht="18" customHeight="1" x14ac:dyDescent="0.2">
      <c r="A45" s="1"/>
      <c r="B45" s="1" t="s">
        <v>702</v>
      </c>
      <c r="C45" s="409">
        <f t="shared" si="18"/>
        <v>0</v>
      </c>
      <c r="D45" s="410"/>
      <c r="E45" s="410"/>
      <c r="F45" s="410"/>
      <c r="G45" s="410"/>
      <c r="H45" s="410"/>
      <c r="I45" s="410"/>
      <c r="J45" s="410"/>
      <c r="K45" s="410"/>
      <c r="L45" s="410"/>
      <c r="M45" s="411">
        <f t="shared" si="19"/>
        <v>0</v>
      </c>
      <c r="X45" s="1"/>
      <c r="AA45" s="419"/>
      <c r="AB45" s="419"/>
      <c r="AC45" s="419"/>
      <c r="AD45" s="419"/>
      <c r="AE45" s="419"/>
      <c r="AF45" s="419"/>
      <c r="AL45" s="444"/>
    </row>
    <row r="46" spans="1:38" ht="18" customHeight="1" x14ac:dyDescent="0.2">
      <c r="A46" s="1"/>
      <c r="B46" s="1" t="s">
        <v>703</v>
      </c>
      <c r="C46" s="409">
        <f t="shared" si="18"/>
        <v>0</v>
      </c>
      <c r="D46" s="410"/>
      <c r="E46" s="410"/>
      <c r="F46" s="410"/>
      <c r="G46" s="410"/>
      <c r="H46" s="410"/>
      <c r="I46" s="410"/>
      <c r="J46" s="410"/>
      <c r="K46" s="410"/>
      <c r="L46" s="410"/>
      <c r="M46" s="411">
        <f t="shared" si="19"/>
        <v>0</v>
      </c>
      <c r="X46" s="1"/>
      <c r="AA46" s="419"/>
      <c r="AB46" s="419"/>
      <c r="AC46" s="419"/>
      <c r="AD46" s="419"/>
      <c r="AE46" s="419"/>
      <c r="AF46" s="419"/>
      <c r="AK46" s="444"/>
      <c r="AL46" s="444"/>
    </row>
    <row r="47" spans="1:38" ht="18" customHeight="1" x14ac:dyDescent="0.2">
      <c r="A47" s="1"/>
      <c r="B47" s="1"/>
      <c r="C47" s="1"/>
      <c r="D47" s="412">
        <f t="shared" ref="D47:L47" si="20">SUMPRODUCT($C$41:$C$46,D41:D46)</f>
        <v>0</v>
      </c>
      <c r="E47" s="412">
        <f t="shared" si="20"/>
        <v>0</v>
      </c>
      <c r="F47" s="412">
        <f t="shared" si="20"/>
        <v>0</v>
      </c>
      <c r="G47" s="412">
        <f t="shared" si="20"/>
        <v>0</v>
      </c>
      <c r="H47" s="412">
        <f t="shared" si="20"/>
        <v>0</v>
      </c>
      <c r="I47" s="412">
        <f t="shared" si="20"/>
        <v>0</v>
      </c>
      <c r="J47" s="412">
        <f t="shared" si="20"/>
        <v>0</v>
      </c>
      <c r="K47" s="412">
        <f t="shared" si="20"/>
        <v>0</v>
      </c>
      <c r="L47" s="412">
        <f t="shared" si="20"/>
        <v>0</v>
      </c>
      <c r="M47" s="411">
        <f>SUM(M41:M46)</f>
        <v>0</v>
      </c>
      <c r="X47" s="1"/>
      <c r="AA47" s="419"/>
      <c r="AB47" s="419"/>
      <c r="AC47" s="419"/>
      <c r="AD47" s="419"/>
      <c r="AE47" s="419"/>
      <c r="AF47" s="419"/>
      <c r="AK47" s="444"/>
      <c r="AL47" s="444"/>
    </row>
    <row r="48" spans="1:38" ht="18" customHeight="1" x14ac:dyDescent="0.2">
      <c r="A48" s="1"/>
      <c r="Q48" s="1"/>
      <c r="R48" s="1"/>
      <c r="S48" s="1"/>
      <c r="T48" s="1"/>
      <c r="U48" s="1"/>
      <c r="V48" s="1"/>
      <c r="W48" s="1"/>
      <c r="X48" s="1"/>
      <c r="AA48" s="419"/>
      <c r="AB48" s="419"/>
      <c r="AC48" s="419"/>
      <c r="AD48" s="419"/>
      <c r="AE48" s="419"/>
      <c r="AF48" s="419"/>
      <c r="AK48" s="444"/>
      <c r="AL48" s="444"/>
    </row>
    <row r="49" spans="1:38" ht="18" customHeight="1" x14ac:dyDescent="0.2">
      <c r="A49" s="1"/>
      <c r="Q49" s="1"/>
      <c r="R49" s="1"/>
      <c r="S49" s="1"/>
      <c r="T49" s="1"/>
      <c r="U49" s="1"/>
      <c r="V49" s="1"/>
      <c r="W49" s="1"/>
      <c r="X49" s="1"/>
      <c r="AA49" s="419"/>
      <c r="AB49" s="419"/>
      <c r="AC49" s="419"/>
      <c r="AD49" s="419"/>
      <c r="AE49" s="419"/>
      <c r="AF49" s="419"/>
      <c r="AK49" s="444"/>
      <c r="AL49" s="444"/>
    </row>
    <row r="50" spans="1:38" ht="18" customHeight="1" x14ac:dyDescent="0.2">
      <c r="A50" s="1"/>
      <c r="Q50" s="1"/>
      <c r="R50" s="1"/>
      <c r="S50" s="1"/>
      <c r="T50" s="1"/>
      <c r="U50" s="1"/>
      <c r="V50" s="1"/>
      <c r="W50" s="1"/>
      <c r="X50" s="1"/>
      <c r="AA50" s="419"/>
      <c r="AB50" s="419"/>
      <c r="AC50" s="419"/>
      <c r="AD50" s="419"/>
      <c r="AE50" s="419"/>
      <c r="AF50" s="419"/>
      <c r="AK50" s="444"/>
      <c r="AL50" s="444"/>
    </row>
    <row r="51" spans="1:38" ht="18" customHeight="1" x14ac:dyDescent="0.25">
      <c r="A51" s="1"/>
      <c r="B51" s="5" t="s">
        <v>401</v>
      </c>
      <c r="C51"/>
      <c r="D51"/>
      <c r="E51"/>
      <c r="F51"/>
      <c r="G51"/>
      <c r="H51"/>
      <c r="I51"/>
      <c r="J51"/>
      <c r="K51"/>
      <c r="L51"/>
      <c r="M51"/>
      <c r="N51"/>
      <c r="O51"/>
      <c r="P51"/>
      <c r="Q51" s="1"/>
      <c r="R51" s="1"/>
      <c r="S51" s="1"/>
      <c r="T51" s="1"/>
      <c r="U51" s="1"/>
      <c r="V51" s="1"/>
      <c r="W51" s="1"/>
      <c r="X51" s="1"/>
      <c r="AA51" s="419"/>
      <c r="AB51" s="419"/>
      <c r="AC51" s="419"/>
      <c r="AD51" s="419"/>
      <c r="AE51" s="419"/>
      <c r="AF51" s="419"/>
      <c r="AK51" s="444"/>
      <c r="AL51" s="444"/>
    </row>
    <row r="52" spans="1:38" ht="18" customHeight="1" x14ac:dyDescent="0.25">
      <c r="A52" s="1"/>
      <c r="B52" s="5"/>
      <c r="C52" s="1"/>
      <c r="D52" s="1"/>
      <c r="E52" s="1"/>
      <c r="F52" s="1"/>
      <c r="G52" s="1"/>
      <c r="H52" s="1"/>
      <c r="I52" s="1"/>
      <c r="J52" s="1"/>
      <c r="K52" s="1"/>
      <c r="L52" s="1"/>
      <c r="M52" s="1"/>
      <c r="N52" s="1"/>
      <c r="O52" s="1"/>
      <c r="P52" s="1"/>
      <c r="Q52" s="1"/>
      <c r="R52" s="1"/>
      <c r="S52" s="1"/>
      <c r="T52" s="1"/>
      <c r="U52" s="1"/>
      <c r="V52" s="1"/>
      <c r="W52" s="1"/>
      <c r="X52" s="1"/>
      <c r="AA52" s="419"/>
      <c r="AB52" s="419"/>
      <c r="AC52" s="419"/>
      <c r="AD52" s="419"/>
      <c r="AE52" s="419"/>
      <c r="AF52" s="419"/>
      <c r="AK52" s="444"/>
      <c r="AL52" s="444"/>
    </row>
    <row r="53" spans="1:38" ht="30" x14ac:dyDescent="0.2">
      <c r="A53" s="1"/>
      <c r="B53" s="1"/>
      <c r="C53" s="407" t="s">
        <v>704</v>
      </c>
      <c r="D53" s="407" t="s">
        <v>824</v>
      </c>
      <c r="E53" s="407" t="s">
        <v>705</v>
      </c>
      <c r="F53" s="407" t="s">
        <v>378</v>
      </c>
      <c r="G53" s="407" t="s">
        <v>379</v>
      </c>
      <c r="H53" s="407" t="s">
        <v>706</v>
      </c>
      <c r="I53" s="407" t="s">
        <v>380</v>
      </c>
      <c r="J53" s="407" t="s">
        <v>850</v>
      </c>
      <c r="K53" s="407" t="s">
        <v>707</v>
      </c>
      <c r="L53" s="407" t="s">
        <v>708</v>
      </c>
      <c r="M53" s="407" t="s">
        <v>855</v>
      </c>
      <c r="N53" s="407" t="s">
        <v>851</v>
      </c>
      <c r="O53" s="407" t="s">
        <v>856</v>
      </c>
      <c r="Q53" s="1"/>
      <c r="R53" s="1"/>
      <c r="S53" s="1"/>
      <c r="T53" s="1"/>
      <c r="U53" s="1"/>
      <c r="V53" s="1"/>
      <c r="W53" s="1"/>
      <c r="X53" s="1"/>
      <c r="AA53" s="419"/>
      <c r="AB53" s="419"/>
      <c r="AC53" s="419"/>
      <c r="AD53" s="419"/>
      <c r="AE53" s="419"/>
      <c r="AF53" s="419"/>
      <c r="AK53" s="444"/>
      <c r="AL53" s="444"/>
    </row>
    <row r="54" spans="1:38" ht="18" customHeight="1" x14ac:dyDescent="0.2">
      <c r="A54" s="1"/>
      <c r="B54" s="1" t="s">
        <v>698</v>
      </c>
      <c r="C54" s="431"/>
      <c r="D54" s="409">
        <f t="shared" ref="D54:D59" si="21">C54-C16</f>
        <v>0</v>
      </c>
      <c r="E54" s="429"/>
      <c r="F54" s="409">
        <f t="shared" ref="F54:F59" si="22">E54-F16</f>
        <v>0</v>
      </c>
      <c r="G54" s="413">
        <f t="shared" ref="G54:G59" si="23">IF(F54&lt;=0,0,F54/D54)</f>
        <v>0</v>
      </c>
      <c r="H54" s="441"/>
      <c r="I54" s="421">
        <f t="shared" ref="I54:I59" si="24">IF(H54&lt;=0,0,(H54-D16)/D16)</f>
        <v>0</v>
      </c>
      <c r="J54" s="442"/>
      <c r="K54" s="550">
        <f t="shared" ref="K54:K59" si="25">J54*E54</f>
        <v>0</v>
      </c>
      <c r="L54" s="411">
        <f t="shared" ref="L54:L59" si="26">K54*H54</f>
        <v>0</v>
      </c>
      <c r="M54" s="409">
        <f t="shared" ref="M54:M59" si="27">E54*H54</f>
        <v>0</v>
      </c>
      <c r="N54" s="415">
        <v>0.52</v>
      </c>
      <c r="O54" s="409">
        <f t="shared" ref="O54:O59" si="28">N54*M54</f>
        <v>0</v>
      </c>
      <c r="Q54" s="1"/>
      <c r="R54" s="1"/>
      <c r="S54" s="1"/>
      <c r="T54" s="1"/>
      <c r="U54" s="1"/>
      <c r="V54" s="1"/>
      <c r="W54" s="1"/>
      <c r="X54" s="1"/>
      <c r="AA54" s="419"/>
      <c r="AB54" s="419"/>
      <c r="AC54" s="419"/>
      <c r="AD54" s="419"/>
      <c r="AE54" s="419"/>
      <c r="AF54" s="419"/>
      <c r="AK54" s="444"/>
      <c r="AL54" s="444"/>
    </row>
    <row r="55" spans="1:38" ht="18" customHeight="1" x14ac:dyDescent="0.2">
      <c r="A55" s="1"/>
      <c r="B55" s="1" t="s">
        <v>699</v>
      </c>
      <c r="C55" s="431"/>
      <c r="D55" s="409">
        <f t="shared" si="21"/>
        <v>0</v>
      </c>
      <c r="E55" s="429"/>
      <c r="F55" s="409">
        <f t="shared" si="22"/>
        <v>0</v>
      </c>
      <c r="G55" s="413">
        <f t="shared" si="23"/>
        <v>0</v>
      </c>
      <c r="H55" s="435"/>
      <c r="I55" s="421">
        <f t="shared" si="24"/>
        <v>0</v>
      </c>
      <c r="J55" s="442"/>
      <c r="K55" s="550">
        <f t="shared" si="25"/>
        <v>0</v>
      </c>
      <c r="L55" s="411">
        <f t="shared" si="26"/>
        <v>0</v>
      </c>
      <c r="M55" s="409">
        <f t="shared" si="27"/>
        <v>0</v>
      </c>
      <c r="N55" s="415">
        <v>0.52</v>
      </c>
      <c r="O55" s="409">
        <f t="shared" si="28"/>
        <v>0</v>
      </c>
      <c r="Q55" s="1"/>
      <c r="R55" s="1"/>
      <c r="S55" s="1"/>
      <c r="T55" s="1"/>
      <c r="U55" s="1"/>
      <c r="V55" s="1"/>
      <c r="W55" s="1"/>
      <c r="X55" s="1"/>
      <c r="AA55" s="419"/>
      <c r="AB55" s="419"/>
      <c r="AC55" s="419"/>
      <c r="AD55" s="419"/>
      <c r="AE55" s="419"/>
      <c r="AF55" s="419"/>
      <c r="AK55" s="444"/>
      <c r="AL55" s="444"/>
    </row>
    <row r="56" spans="1:38" x14ac:dyDescent="0.2">
      <c r="A56" s="1"/>
      <c r="B56" s="1" t="s">
        <v>700</v>
      </c>
      <c r="C56" s="431"/>
      <c r="D56" s="409">
        <f t="shared" si="21"/>
        <v>0</v>
      </c>
      <c r="E56" s="429"/>
      <c r="F56" s="409">
        <f t="shared" si="22"/>
        <v>0</v>
      </c>
      <c r="G56" s="413">
        <f t="shared" si="23"/>
        <v>0</v>
      </c>
      <c r="H56" s="435"/>
      <c r="I56" s="421">
        <f t="shared" si="24"/>
        <v>0</v>
      </c>
      <c r="J56" s="442"/>
      <c r="K56" s="550">
        <f t="shared" si="25"/>
        <v>0</v>
      </c>
      <c r="L56" s="411">
        <f t="shared" si="26"/>
        <v>0</v>
      </c>
      <c r="M56" s="409">
        <f t="shared" si="27"/>
        <v>0</v>
      </c>
      <c r="N56" s="415">
        <v>0.52</v>
      </c>
      <c r="O56" s="409">
        <f t="shared" si="28"/>
        <v>0</v>
      </c>
      <c r="Q56" s="1"/>
      <c r="R56" s="1"/>
      <c r="S56" s="1"/>
      <c r="T56" s="1"/>
      <c r="U56" s="1"/>
      <c r="V56" s="1"/>
      <c r="W56" s="1"/>
      <c r="X56" s="1"/>
      <c r="AA56" s="419"/>
      <c r="AB56" s="419"/>
      <c r="AC56" s="419"/>
      <c r="AD56" s="419"/>
      <c r="AE56" s="419"/>
      <c r="AF56" s="419"/>
      <c r="AK56" s="444"/>
      <c r="AL56" s="444"/>
    </row>
    <row r="57" spans="1:38" ht="18" customHeight="1" x14ac:dyDescent="0.2">
      <c r="A57" s="1"/>
      <c r="B57" s="1" t="s">
        <v>701</v>
      </c>
      <c r="C57" s="431"/>
      <c r="D57" s="409">
        <f t="shared" si="21"/>
        <v>0</v>
      </c>
      <c r="E57" s="435"/>
      <c r="F57" s="409">
        <f t="shared" si="22"/>
        <v>0</v>
      </c>
      <c r="G57" s="413">
        <f t="shared" si="23"/>
        <v>0</v>
      </c>
      <c r="H57" s="435"/>
      <c r="I57" s="421">
        <f t="shared" si="24"/>
        <v>0</v>
      </c>
      <c r="J57" s="442"/>
      <c r="K57" s="550">
        <f t="shared" si="25"/>
        <v>0</v>
      </c>
      <c r="L57" s="411">
        <f t="shared" si="26"/>
        <v>0</v>
      </c>
      <c r="M57" s="409">
        <f t="shared" si="27"/>
        <v>0</v>
      </c>
      <c r="N57" s="415">
        <v>0.52</v>
      </c>
      <c r="O57" s="409">
        <f t="shared" si="28"/>
        <v>0</v>
      </c>
      <c r="Q57" s="1"/>
      <c r="R57" s="1"/>
      <c r="S57" s="1"/>
      <c r="T57" s="1"/>
      <c r="U57" s="1"/>
      <c r="V57" s="1"/>
      <c r="W57" s="1"/>
      <c r="X57" s="1"/>
      <c r="AA57" s="419"/>
      <c r="AB57" s="419"/>
      <c r="AC57" s="419"/>
      <c r="AD57" s="419"/>
      <c r="AE57" s="419"/>
      <c r="AF57" s="419"/>
      <c r="AK57" s="444"/>
      <c r="AL57" s="444"/>
    </row>
    <row r="58" spans="1:38" ht="18" customHeight="1" x14ac:dyDescent="0.2">
      <c r="A58" s="1"/>
      <c r="B58" s="1" t="s">
        <v>702</v>
      </c>
      <c r="C58" s="431"/>
      <c r="D58" s="409">
        <f t="shared" si="21"/>
        <v>0</v>
      </c>
      <c r="E58" s="435"/>
      <c r="F58" s="409">
        <f t="shared" si="22"/>
        <v>0</v>
      </c>
      <c r="G58" s="413">
        <f t="shared" si="23"/>
        <v>0</v>
      </c>
      <c r="H58" s="435"/>
      <c r="I58" s="421">
        <f t="shared" si="24"/>
        <v>0</v>
      </c>
      <c r="J58" s="442"/>
      <c r="K58" s="550">
        <f t="shared" si="25"/>
        <v>0</v>
      </c>
      <c r="L58" s="411">
        <f t="shared" si="26"/>
        <v>0</v>
      </c>
      <c r="M58" s="409">
        <f t="shared" si="27"/>
        <v>0</v>
      </c>
      <c r="N58" s="415">
        <v>0.52</v>
      </c>
      <c r="O58" s="409">
        <f t="shared" si="28"/>
        <v>0</v>
      </c>
      <c r="Q58" s="1"/>
      <c r="R58" s="1"/>
      <c r="S58" s="1"/>
      <c r="T58" s="1"/>
      <c r="U58" s="1"/>
      <c r="V58" s="1"/>
      <c r="W58" s="1"/>
      <c r="X58" s="1"/>
      <c r="AA58" s="419"/>
      <c r="AB58" s="419"/>
      <c r="AC58" s="419"/>
      <c r="AD58" s="419"/>
      <c r="AE58" s="419"/>
      <c r="AF58" s="419"/>
      <c r="AK58" s="444"/>
      <c r="AL58" s="444"/>
    </row>
    <row r="59" spans="1:38" ht="18" customHeight="1" x14ac:dyDescent="0.2">
      <c r="A59" s="1"/>
      <c r="B59" s="1" t="s">
        <v>703</v>
      </c>
      <c r="C59" s="431"/>
      <c r="D59" s="409">
        <f t="shared" si="21"/>
        <v>0</v>
      </c>
      <c r="E59" s="435"/>
      <c r="F59" s="409">
        <f t="shared" si="22"/>
        <v>0</v>
      </c>
      <c r="G59" s="413">
        <f t="shared" si="23"/>
        <v>0</v>
      </c>
      <c r="H59" s="435"/>
      <c r="I59" s="421">
        <f t="shared" si="24"/>
        <v>0</v>
      </c>
      <c r="J59" s="442"/>
      <c r="K59" s="550">
        <f t="shared" si="25"/>
        <v>0</v>
      </c>
      <c r="L59" s="411">
        <f t="shared" si="26"/>
        <v>0</v>
      </c>
      <c r="M59" s="409">
        <f t="shared" si="27"/>
        <v>0</v>
      </c>
      <c r="N59" s="415">
        <v>0.52</v>
      </c>
      <c r="O59" s="409">
        <f t="shared" si="28"/>
        <v>0</v>
      </c>
      <c r="Q59" s="1"/>
      <c r="R59" s="1"/>
      <c r="S59" s="1"/>
      <c r="T59" s="1"/>
      <c r="U59" s="1"/>
      <c r="V59" s="1"/>
      <c r="W59" s="1"/>
      <c r="X59" s="1"/>
      <c r="AA59" s="419"/>
      <c r="AB59" s="419"/>
      <c r="AC59" s="419"/>
      <c r="AD59" s="419"/>
      <c r="AE59" s="419"/>
      <c r="AF59" s="419"/>
      <c r="AK59" s="444"/>
      <c r="AL59" s="444"/>
    </row>
    <row r="60" spans="1:38" ht="18" customHeight="1" thickBot="1" x14ac:dyDescent="0.25">
      <c r="A60" s="1"/>
      <c r="B60" s="1"/>
      <c r="C60" s="1"/>
      <c r="D60" s="1"/>
      <c r="E60" s="439">
        <f>SUMPRODUCT(E54:E59,H54:H59)</f>
        <v>0</v>
      </c>
      <c r="F60" s="1"/>
      <c r="G60" s="1"/>
      <c r="I60" s="1"/>
      <c r="J60" s="1"/>
      <c r="K60" s="1" t="s">
        <v>993</v>
      </c>
      <c r="L60" s="440">
        <f>SUM(L54:L59)</f>
        <v>0</v>
      </c>
      <c r="M60" s="439">
        <f>SUM(M54:M59)</f>
        <v>0</v>
      </c>
      <c r="O60" s="439">
        <f>SUM(O54:O59)</f>
        <v>0</v>
      </c>
      <c r="Q60" s="1"/>
      <c r="R60" s="1"/>
      <c r="S60" s="1"/>
      <c r="T60" s="1"/>
      <c r="U60" s="1"/>
      <c r="V60" s="1"/>
      <c r="W60" s="1"/>
      <c r="X60" s="1"/>
      <c r="AA60" s="419"/>
      <c r="AB60" s="419"/>
      <c r="AC60" s="419"/>
      <c r="AD60" s="419"/>
      <c r="AE60" s="419"/>
      <c r="AF60" s="419"/>
      <c r="AK60" s="444"/>
      <c r="AL60" s="444"/>
    </row>
    <row r="61" spans="1:38" ht="18" customHeight="1" thickTop="1" x14ac:dyDescent="0.2">
      <c r="A61" s="1"/>
      <c r="B61" s="1"/>
      <c r="C61" s="1"/>
      <c r="D61" s="1"/>
      <c r="E61" s="1"/>
      <c r="F61" s="1"/>
      <c r="G61" s="1"/>
      <c r="H61" s="1"/>
      <c r="I61" s="1"/>
      <c r="J61" s="1"/>
      <c r="K61" s="1"/>
      <c r="L61" s="12" t="s">
        <v>562</v>
      </c>
      <c r="M61" s="481">
        <f>F22</f>
        <v>0</v>
      </c>
      <c r="N61" s="1"/>
      <c r="O61" s="481" t="e">
        <f>M61*O60/M60</f>
        <v>#DIV/0!</v>
      </c>
      <c r="P61" s="1"/>
      <c r="Q61" s="1"/>
      <c r="R61" s="1"/>
      <c r="S61" s="1"/>
      <c r="T61" s="1"/>
      <c r="U61" s="1"/>
      <c r="V61" s="1"/>
      <c r="W61" s="1"/>
      <c r="X61" s="1"/>
      <c r="AA61" s="419"/>
      <c r="AB61" s="419"/>
      <c r="AC61" s="419"/>
      <c r="AD61" s="419"/>
      <c r="AE61" s="419"/>
      <c r="AF61" s="419"/>
      <c r="AK61" s="444"/>
      <c r="AL61" s="444"/>
    </row>
    <row r="62" spans="1:38" ht="18" customHeight="1" x14ac:dyDescent="0.25">
      <c r="A62" s="1"/>
      <c r="L62" s="547" t="s">
        <v>381</v>
      </c>
      <c r="M62" s="247">
        <f>M60-M61</f>
        <v>0</v>
      </c>
      <c r="N62" t="s">
        <v>382</v>
      </c>
      <c r="O62" s="247" t="e">
        <f>O60-O61</f>
        <v>#DIV/0!</v>
      </c>
      <c r="P62" s="1" t="s">
        <v>383</v>
      </c>
      <c r="Q62" s="1"/>
      <c r="R62" s="1"/>
      <c r="S62" s="1"/>
      <c r="T62" s="1"/>
      <c r="U62" s="1"/>
      <c r="V62" s="1"/>
      <c r="W62" s="1"/>
      <c r="X62" s="1"/>
      <c r="AA62" s="419"/>
      <c r="AB62" s="419"/>
      <c r="AC62" s="419"/>
      <c r="AD62" s="419"/>
      <c r="AE62" s="419"/>
      <c r="AF62" s="419"/>
      <c r="AK62" s="444"/>
      <c r="AL62" s="444"/>
    </row>
    <row r="63" spans="1:38" ht="18" customHeight="1" x14ac:dyDescent="0.25">
      <c r="A63" s="1"/>
      <c r="B63" s="446"/>
      <c r="L63" s="245"/>
      <c r="M63"/>
      <c r="N63"/>
      <c r="O63"/>
      <c r="P63" s="1"/>
      <c r="Q63" s="1"/>
      <c r="R63" s="1"/>
      <c r="S63" s="1"/>
      <c r="T63" s="1"/>
      <c r="U63" s="1"/>
      <c r="V63" s="1"/>
      <c r="W63" s="1"/>
      <c r="X63" s="1"/>
      <c r="AA63" s="419"/>
      <c r="AB63" s="419"/>
      <c r="AC63" s="419"/>
      <c r="AD63" s="419"/>
      <c r="AE63" s="419"/>
      <c r="AF63" s="419"/>
      <c r="AK63" s="444"/>
      <c r="AL63" s="444"/>
    </row>
    <row r="64" spans="1:38" ht="18" customHeight="1" x14ac:dyDescent="0.25">
      <c r="A64" s="1"/>
      <c r="B64" s="446"/>
      <c r="L64" s="245"/>
      <c r="M64"/>
      <c r="N64"/>
      <c r="O64"/>
      <c r="P64" s="1"/>
      <c r="Q64" s="1"/>
      <c r="R64" s="1"/>
      <c r="S64" s="1"/>
      <c r="T64" s="1"/>
      <c r="U64" s="1"/>
      <c r="V64" s="1"/>
      <c r="W64" s="1"/>
      <c r="X64" s="1"/>
      <c r="AA64" s="419"/>
      <c r="AB64" s="419"/>
      <c r="AC64" s="419"/>
      <c r="AD64" s="419"/>
      <c r="AE64" s="419"/>
      <c r="AF64" s="419"/>
      <c r="AK64" s="444"/>
      <c r="AL64" s="444"/>
    </row>
    <row r="65" spans="1:38" ht="18" customHeight="1" x14ac:dyDescent="0.25">
      <c r="A65" s="1"/>
      <c r="B65" s="446"/>
      <c r="L65" s="245"/>
      <c r="M65"/>
      <c r="N65"/>
      <c r="O65"/>
      <c r="P65" s="1"/>
      <c r="Q65" s="1"/>
      <c r="R65" s="1"/>
      <c r="S65" s="1"/>
      <c r="T65" s="1"/>
      <c r="U65" s="1"/>
      <c r="V65" s="1"/>
      <c r="W65" s="1"/>
      <c r="X65" s="1"/>
      <c r="AA65" s="419"/>
      <c r="AB65" s="419"/>
      <c r="AC65" s="419"/>
      <c r="AD65" s="419"/>
      <c r="AE65" s="419"/>
      <c r="AF65" s="419"/>
      <c r="AK65" s="444"/>
      <c r="AL65" s="444"/>
    </row>
    <row r="66" spans="1:38" ht="18" customHeight="1" x14ac:dyDescent="0.25">
      <c r="A66" s="1"/>
      <c r="B66" s="446" t="s">
        <v>561</v>
      </c>
      <c r="L66" s="245"/>
      <c r="M66"/>
      <c r="N66"/>
      <c r="O66"/>
      <c r="P66" s="1"/>
      <c r="Q66" s="1"/>
      <c r="R66" s="1"/>
      <c r="S66" s="1"/>
      <c r="T66" s="1"/>
      <c r="U66" s="1"/>
      <c r="V66" s="1"/>
      <c r="W66" s="1"/>
      <c r="X66" s="1"/>
      <c r="AA66" s="419"/>
      <c r="AB66" s="419"/>
      <c r="AC66" s="419"/>
      <c r="AD66" s="419"/>
      <c r="AE66" s="419"/>
      <c r="AF66" s="419"/>
      <c r="AK66" s="444"/>
      <c r="AL66" s="444"/>
    </row>
    <row r="67" spans="1:38" ht="18" customHeight="1" x14ac:dyDescent="0.2">
      <c r="A67" s="1"/>
      <c r="M67" s="1"/>
      <c r="N67" s="1"/>
      <c r="O67" s="1"/>
      <c r="P67" s="1"/>
      <c r="Q67" s="1"/>
      <c r="R67" s="1"/>
      <c r="S67" s="1"/>
      <c r="T67" s="1"/>
      <c r="U67" s="1"/>
      <c r="V67" s="1"/>
      <c r="W67" s="1"/>
      <c r="X67" s="1"/>
      <c r="AA67" s="419"/>
      <c r="AB67" s="419"/>
      <c r="AC67" s="419"/>
      <c r="AD67" s="419"/>
      <c r="AE67" s="419"/>
      <c r="AF67" s="419"/>
      <c r="AK67" s="444"/>
      <c r="AL67" s="444"/>
    </row>
    <row r="68" spans="1:38" ht="33" customHeight="1" x14ac:dyDescent="0.2">
      <c r="A68" s="1"/>
      <c r="C68" s="407" t="s">
        <v>709</v>
      </c>
      <c r="D68" s="407" t="s">
        <v>710</v>
      </c>
      <c r="E68" s="407" t="s">
        <v>711</v>
      </c>
      <c r="F68" s="407" t="s">
        <v>712</v>
      </c>
      <c r="G68" s="407" t="s">
        <v>713</v>
      </c>
      <c r="H68" s="407" t="s">
        <v>714</v>
      </c>
      <c r="I68" s="407" t="s">
        <v>715</v>
      </c>
      <c r="J68" s="407" t="s">
        <v>716</v>
      </c>
      <c r="K68" s="407" t="s">
        <v>717</v>
      </c>
      <c r="L68" s="407" t="s">
        <v>718</v>
      </c>
      <c r="M68" s="407" t="s">
        <v>719</v>
      </c>
      <c r="O68" s="1"/>
      <c r="P68" s="1"/>
      <c r="Q68" s="1"/>
      <c r="R68" s="1"/>
      <c r="S68" s="1"/>
      <c r="T68" s="1"/>
      <c r="U68" s="1"/>
      <c r="V68" s="1"/>
      <c r="W68" s="1"/>
      <c r="X68" s="1"/>
      <c r="AA68" s="419"/>
      <c r="AB68" s="419"/>
      <c r="AC68" s="419"/>
      <c r="AD68" s="419"/>
      <c r="AE68" s="419"/>
      <c r="AF68" s="419"/>
      <c r="AK68" s="444"/>
      <c r="AL68" s="444"/>
    </row>
    <row r="69" spans="1:38" ht="18" customHeight="1" x14ac:dyDescent="0.2">
      <c r="A69" s="1"/>
      <c r="B69" s="419" t="str">
        <f t="shared" ref="B69:B74" si="29">B54</f>
        <v>Mob 1</v>
      </c>
      <c r="C69" s="448"/>
      <c r="D69" s="411">
        <f t="shared" ref="D69:D74" si="30">C69*L54</f>
        <v>0</v>
      </c>
      <c r="E69" s="449"/>
      <c r="F69" s="449"/>
      <c r="G69" s="449"/>
      <c r="H69" s="411">
        <f t="shared" ref="H69:H74" si="31">(E69*H54)+(F69*H54)+G69</f>
        <v>0</v>
      </c>
      <c r="I69" s="450"/>
      <c r="J69" s="451"/>
      <c r="K69" s="450"/>
      <c r="L69" s="411">
        <f t="shared" ref="L69:L74" si="32">IF(K69=0,0,IF(H54&lt;=0,0,H54*I69*J69/K69))</f>
        <v>0</v>
      </c>
      <c r="M69" s="433">
        <f t="shared" ref="M69:M74" si="33">IF(L69&lt;=0,0,L69/H54)</f>
        <v>0</v>
      </c>
      <c r="O69" s="1"/>
      <c r="P69" s="1"/>
      <c r="Q69" s="1"/>
      <c r="R69" s="1"/>
      <c r="S69" s="1"/>
      <c r="T69" s="1"/>
      <c r="U69" s="1"/>
      <c r="V69" s="1"/>
      <c r="W69" s="1"/>
      <c r="X69" s="1"/>
      <c r="AA69" s="419"/>
      <c r="AB69" s="419"/>
      <c r="AC69" s="419"/>
      <c r="AD69" s="419"/>
      <c r="AE69" s="419"/>
      <c r="AF69" s="419"/>
      <c r="AK69" s="444"/>
      <c r="AL69" s="444"/>
    </row>
    <row r="70" spans="1:38" ht="18" customHeight="1" x14ac:dyDescent="0.2">
      <c r="A70" s="1"/>
      <c r="B70" s="419" t="str">
        <f t="shared" si="29"/>
        <v>Mob 2</v>
      </c>
      <c r="C70" s="448"/>
      <c r="D70" s="411">
        <f t="shared" si="30"/>
        <v>0</v>
      </c>
      <c r="E70" s="449"/>
      <c r="F70" s="449"/>
      <c r="G70" s="449"/>
      <c r="H70" s="411">
        <f t="shared" si="31"/>
        <v>0</v>
      </c>
      <c r="I70" s="450"/>
      <c r="J70" s="451"/>
      <c r="K70" s="450"/>
      <c r="L70" s="411">
        <f t="shared" si="32"/>
        <v>0</v>
      </c>
      <c r="M70" s="433">
        <f t="shared" si="33"/>
        <v>0</v>
      </c>
      <c r="O70" s="1"/>
      <c r="P70" s="1"/>
      <c r="Q70" s="1"/>
      <c r="R70" s="1"/>
      <c r="S70" s="1"/>
      <c r="T70" s="1"/>
      <c r="U70" s="1"/>
      <c r="V70" s="1"/>
      <c r="W70" s="1"/>
      <c r="X70" s="1"/>
      <c r="AA70" s="419"/>
      <c r="AB70" s="419"/>
      <c r="AC70" s="419"/>
      <c r="AD70" s="419"/>
      <c r="AE70" s="419"/>
      <c r="AF70" s="419"/>
      <c r="AK70" s="444"/>
      <c r="AL70" s="444"/>
    </row>
    <row r="71" spans="1:38" ht="18" customHeight="1" x14ac:dyDescent="0.2">
      <c r="A71" s="1"/>
      <c r="B71" s="419" t="str">
        <f t="shared" si="29"/>
        <v>Mob 3</v>
      </c>
      <c r="C71" s="448"/>
      <c r="D71" s="411">
        <f t="shared" si="30"/>
        <v>0</v>
      </c>
      <c r="E71" s="449"/>
      <c r="F71" s="449"/>
      <c r="G71" s="449"/>
      <c r="H71" s="411">
        <f t="shared" si="31"/>
        <v>0</v>
      </c>
      <c r="I71" s="450"/>
      <c r="J71" s="451"/>
      <c r="K71" s="450"/>
      <c r="L71" s="411">
        <f t="shared" si="32"/>
        <v>0</v>
      </c>
      <c r="M71" s="433">
        <f t="shared" si="33"/>
        <v>0</v>
      </c>
      <c r="O71" s="1"/>
      <c r="P71" s="1"/>
      <c r="Q71" s="1"/>
      <c r="R71" s="1"/>
      <c r="S71" s="1"/>
      <c r="T71" s="1"/>
      <c r="U71" s="1"/>
      <c r="V71" s="1"/>
      <c r="W71" s="1"/>
      <c r="X71" s="1"/>
      <c r="AI71" s="444"/>
      <c r="AJ71" s="444"/>
      <c r="AK71" s="444"/>
      <c r="AL71" s="444"/>
    </row>
    <row r="72" spans="1:38" ht="18" customHeight="1" x14ac:dyDescent="0.2">
      <c r="A72" s="1"/>
      <c r="B72" s="419" t="str">
        <f t="shared" si="29"/>
        <v>Mob 4</v>
      </c>
      <c r="C72" s="448"/>
      <c r="D72" s="411">
        <f t="shared" si="30"/>
        <v>0</v>
      </c>
      <c r="E72" s="449"/>
      <c r="F72" s="449"/>
      <c r="G72" s="449"/>
      <c r="H72" s="411">
        <f t="shared" si="31"/>
        <v>0</v>
      </c>
      <c r="I72" s="450"/>
      <c r="J72" s="451"/>
      <c r="K72" s="450"/>
      <c r="L72" s="411">
        <f t="shared" si="32"/>
        <v>0</v>
      </c>
      <c r="M72" s="433">
        <f t="shared" si="33"/>
        <v>0</v>
      </c>
      <c r="O72" s="1"/>
      <c r="P72" s="1"/>
      <c r="Q72" s="1"/>
      <c r="R72" s="1"/>
      <c r="S72" s="1"/>
      <c r="T72" s="1"/>
      <c r="U72" s="1"/>
      <c r="V72" s="1"/>
      <c r="W72" s="1"/>
      <c r="X72" s="1"/>
      <c r="AI72" s="444"/>
      <c r="AJ72" s="444"/>
      <c r="AK72" s="444"/>
      <c r="AL72" s="444"/>
    </row>
    <row r="73" spans="1:38" ht="18" customHeight="1" x14ac:dyDescent="0.2">
      <c r="A73" s="1"/>
      <c r="B73" s="419" t="str">
        <f t="shared" si="29"/>
        <v>Mob 5</v>
      </c>
      <c r="C73" s="448"/>
      <c r="D73" s="411">
        <f t="shared" si="30"/>
        <v>0</v>
      </c>
      <c r="E73" s="449"/>
      <c r="F73" s="449"/>
      <c r="G73" s="449"/>
      <c r="H73" s="411">
        <f t="shared" si="31"/>
        <v>0</v>
      </c>
      <c r="I73" s="450"/>
      <c r="J73" s="451"/>
      <c r="K73" s="450"/>
      <c r="L73" s="411">
        <f t="shared" si="32"/>
        <v>0</v>
      </c>
      <c r="M73" s="433">
        <f t="shared" si="33"/>
        <v>0</v>
      </c>
      <c r="O73" s="1"/>
      <c r="P73" s="1"/>
      <c r="Q73" s="1"/>
      <c r="R73" s="1"/>
      <c r="S73" s="1"/>
      <c r="T73" s="1"/>
      <c r="U73" s="1"/>
      <c r="V73" s="1"/>
      <c r="W73" s="1"/>
      <c r="X73" s="1"/>
      <c r="Y73"/>
      <c r="Z73"/>
      <c r="AA73"/>
      <c r="AB73"/>
      <c r="AC73"/>
      <c r="AD73"/>
      <c r="AE73"/>
      <c r="AF73"/>
      <c r="AI73" s="444"/>
      <c r="AJ73" s="444"/>
      <c r="AK73" s="444"/>
      <c r="AL73" s="444"/>
    </row>
    <row r="74" spans="1:38" ht="18" customHeight="1" x14ac:dyDescent="0.2">
      <c r="A74" s="1"/>
      <c r="B74" s="419" t="str">
        <f t="shared" si="29"/>
        <v>Mob 6</v>
      </c>
      <c r="C74" s="448"/>
      <c r="D74" s="411">
        <f t="shared" si="30"/>
        <v>0</v>
      </c>
      <c r="E74" s="449"/>
      <c r="F74" s="449"/>
      <c r="G74" s="449"/>
      <c r="H74" s="411">
        <f t="shared" si="31"/>
        <v>0</v>
      </c>
      <c r="I74" s="450"/>
      <c r="J74" s="451"/>
      <c r="K74" s="450"/>
      <c r="L74" s="411">
        <f t="shared" si="32"/>
        <v>0</v>
      </c>
      <c r="M74" s="433">
        <f t="shared" si="33"/>
        <v>0</v>
      </c>
      <c r="O74" s="1"/>
      <c r="P74" s="1"/>
      <c r="Q74" s="1"/>
      <c r="R74" s="1"/>
      <c r="S74" s="1"/>
      <c r="T74" s="1"/>
      <c r="U74" s="1"/>
      <c r="V74" s="1"/>
      <c r="W74" s="1"/>
      <c r="X74" s="1"/>
      <c r="Y74"/>
      <c r="Z74"/>
      <c r="AA74"/>
      <c r="AB74"/>
      <c r="AC74"/>
      <c r="AD74"/>
      <c r="AE74"/>
      <c r="AF74"/>
      <c r="AI74" s="444"/>
      <c r="AJ74" s="444"/>
      <c r="AK74" s="444"/>
      <c r="AL74" s="444"/>
    </row>
    <row r="75" spans="1:38" ht="18" customHeight="1" thickBot="1" x14ac:dyDescent="0.25">
      <c r="A75" s="1"/>
      <c r="C75" s="1"/>
      <c r="D75" s="440">
        <f>SUM(D69:D74)</f>
        <v>0</v>
      </c>
      <c r="E75" s="1"/>
      <c r="F75" s="1"/>
      <c r="G75" s="1"/>
      <c r="H75" s="440">
        <f>SUM(H69:H74)</f>
        <v>0</v>
      </c>
      <c r="I75" s="1"/>
      <c r="J75" s="1"/>
      <c r="K75" s="1"/>
      <c r="L75" s="440">
        <f>SUM(L69:L74)</f>
        <v>0</v>
      </c>
      <c r="M75" s="1"/>
      <c r="O75" s="1"/>
      <c r="P75" s="1"/>
      <c r="Q75" s="1"/>
      <c r="R75" s="1"/>
      <c r="S75" s="1"/>
      <c r="T75" s="1"/>
      <c r="U75" s="1"/>
      <c r="V75" s="1"/>
      <c r="W75" s="1"/>
      <c r="X75" s="1"/>
      <c r="Y75"/>
      <c r="Z75"/>
      <c r="AA75"/>
      <c r="AB75"/>
      <c r="AC75"/>
      <c r="AD75"/>
      <c r="AE75"/>
      <c r="AF75"/>
      <c r="AI75" s="444"/>
      <c r="AJ75" s="444"/>
      <c r="AK75" s="444"/>
      <c r="AL75" s="444"/>
    </row>
    <row r="76" spans="1:38" ht="18" customHeight="1" thickTop="1" x14ac:dyDescent="0.2">
      <c r="A76" s="1"/>
      <c r="B76" s="1"/>
      <c r="C76" s="1"/>
      <c r="D76" s="1"/>
      <c r="E76" s="1"/>
      <c r="F76" s="1"/>
      <c r="G76" s="1"/>
      <c r="H76" s="1"/>
      <c r="I76" s="1"/>
      <c r="J76" s="1"/>
      <c r="K76" s="1"/>
      <c r="L76" s="1"/>
      <c r="M76" s="1"/>
      <c r="N76" s="1"/>
      <c r="O76" s="1"/>
      <c r="P76" s="1"/>
      <c r="Q76" s="1"/>
      <c r="R76" s="1"/>
      <c r="S76" s="1"/>
      <c r="T76" s="1"/>
      <c r="U76" s="1"/>
      <c r="V76" s="1"/>
      <c r="W76" s="1"/>
      <c r="X76" s="1"/>
      <c r="Y76"/>
      <c r="Z76"/>
      <c r="AA76"/>
      <c r="AB76"/>
      <c r="AC76"/>
      <c r="AD76"/>
      <c r="AE76"/>
      <c r="AF76"/>
      <c r="AI76" s="444"/>
      <c r="AJ76" s="444"/>
      <c r="AK76" s="444"/>
      <c r="AL76" s="444"/>
    </row>
    <row r="77" spans="1:38" ht="18" customHeight="1" x14ac:dyDescent="0.2">
      <c r="A77" s="1"/>
      <c r="L77" s="1"/>
      <c r="M77" s="1"/>
      <c r="N77" s="1"/>
      <c r="O77" s="1"/>
      <c r="P77" s="1"/>
      <c r="Q77" s="1"/>
      <c r="R77" s="1"/>
      <c r="S77" s="1"/>
      <c r="T77" s="1"/>
      <c r="U77" s="1"/>
      <c r="V77" s="1"/>
      <c r="W77" s="1"/>
      <c r="X77" s="1"/>
      <c r="Y77"/>
      <c r="Z77"/>
      <c r="AA77"/>
      <c r="AB77"/>
      <c r="AC77"/>
      <c r="AD77"/>
      <c r="AE77"/>
      <c r="AF77"/>
      <c r="AI77" s="444"/>
      <c r="AJ77" s="444"/>
      <c r="AK77" s="444"/>
      <c r="AL77" s="444"/>
    </row>
    <row r="78" spans="1:38" ht="18" customHeight="1" x14ac:dyDescent="0.2">
      <c r="A78" s="1"/>
      <c r="B78" s="1"/>
      <c r="C78" s="1"/>
      <c r="D78" s="1"/>
      <c r="E78" s="1"/>
      <c r="F78" s="1"/>
      <c r="G78" s="1"/>
      <c r="H78" s="1"/>
      <c r="I78" s="1"/>
      <c r="J78" s="1"/>
      <c r="K78" s="1"/>
      <c r="L78" s="1"/>
      <c r="M78" s="1"/>
      <c r="N78" s="1"/>
      <c r="O78" s="1"/>
      <c r="P78" s="1"/>
      <c r="Q78" s="1"/>
      <c r="R78" s="1"/>
      <c r="S78" s="1"/>
      <c r="T78" s="1"/>
      <c r="U78" s="1"/>
      <c r="V78" s="1"/>
      <c r="W78" s="1"/>
      <c r="X78" s="1"/>
      <c r="AA78" s="419"/>
      <c r="AB78" s="419"/>
      <c r="AC78" s="419"/>
      <c r="AD78" s="419"/>
      <c r="AE78" s="419"/>
      <c r="AF78" s="419"/>
      <c r="AI78" s="444"/>
      <c r="AJ78" s="444"/>
      <c r="AK78" s="444"/>
      <c r="AL78" s="444"/>
    </row>
    <row r="79" spans="1:38" ht="18" customHeight="1" x14ac:dyDescent="0.25">
      <c r="A79" s="1"/>
      <c r="B79" s="5" t="s">
        <v>396</v>
      </c>
      <c r="C79" s="1"/>
      <c r="D79" s="1"/>
      <c r="E79" s="1"/>
      <c r="F79" s="1"/>
      <c r="G79" s="1"/>
      <c r="H79" s="1"/>
      <c r="I79" s="1"/>
      <c r="J79" s="1"/>
      <c r="K79" s="1"/>
      <c r="L79" s="1"/>
      <c r="M79" s="1"/>
      <c r="N79" s="1"/>
      <c r="O79" s="1"/>
      <c r="P79" s="1"/>
      <c r="Q79" s="1"/>
      <c r="R79" s="1"/>
      <c r="S79" s="1"/>
      <c r="T79" s="1"/>
      <c r="U79" s="1"/>
      <c r="V79" s="1"/>
      <c r="W79" s="1"/>
      <c r="X79" s="1"/>
      <c r="AA79" s="419"/>
      <c r="AB79" s="419"/>
      <c r="AC79" s="419"/>
      <c r="AD79" s="419"/>
      <c r="AE79" s="419"/>
      <c r="AF79" s="419"/>
      <c r="AI79" s="444"/>
      <c r="AJ79" s="444"/>
      <c r="AK79" s="444"/>
      <c r="AL79" s="444"/>
    </row>
    <row r="80" spans="1:38" x14ac:dyDescent="0.2">
      <c r="A80" s="1"/>
      <c r="B80" s="1"/>
      <c r="C80" s="1"/>
      <c r="D80" s="1"/>
      <c r="E80" s="1"/>
      <c r="F80" s="1"/>
      <c r="G80" s="1"/>
      <c r="H80" s="1"/>
      <c r="I80" s="1"/>
      <c r="J80" s="1"/>
      <c r="K80" s="1"/>
      <c r="L80" s="1"/>
      <c r="M80" s="1"/>
      <c r="N80" s="1"/>
      <c r="O80" s="1"/>
      <c r="P80" s="1"/>
      <c r="Q80" s="1"/>
      <c r="R80" s="1"/>
      <c r="S80" s="1"/>
      <c r="T80" s="1"/>
      <c r="U80" s="1"/>
      <c r="V80" s="1"/>
      <c r="W80" s="1"/>
      <c r="X80" s="1"/>
      <c r="AA80" s="419"/>
      <c r="AB80" s="419"/>
      <c r="AC80" s="419"/>
      <c r="AD80" s="419"/>
      <c r="AE80" s="419"/>
      <c r="AF80" s="419"/>
      <c r="AI80" s="444"/>
      <c r="AJ80" s="444"/>
      <c r="AK80" s="444"/>
      <c r="AL80" s="444"/>
    </row>
    <row r="81" spans="1:32" ht="33" customHeight="1" x14ac:dyDescent="0.2">
      <c r="A81" s="1"/>
      <c r="B81" s="1"/>
      <c r="C81" s="408" t="s">
        <v>892</v>
      </c>
      <c r="D81" s="408" t="s">
        <v>721</v>
      </c>
      <c r="E81" s="408" t="s">
        <v>722</v>
      </c>
      <c r="F81" s="408" t="s">
        <v>723</v>
      </c>
      <c r="G81" s="408" t="s">
        <v>724</v>
      </c>
      <c r="H81" s="408" t="s">
        <v>725</v>
      </c>
      <c r="I81" s="1"/>
      <c r="J81" s="1"/>
      <c r="K81" s="1"/>
      <c r="L81" s="1"/>
      <c r="M81" s="1"/>
      <c r="N81" s="1"/>
      <c r="O81" s="1"/>
      <c r="P81" s="1"/>
      <c r="Q81" s="1"/>
      <c r="R81" s="1"/>
      <c r="S81" s="1"/>
      <c r="T81" s="1"/>
      <c r="U81" s="1"/>
      <c r="V81" s="1"/>
      <c r="W81" s="1"/>
      <c r="X81" s="1"/>
      <c r="AA81" s="419"/>
      <c r="AB81" s="419"/>
      <c r="AC81" s="419"/>
      <c r="AD81" s="419"/>
      <c r="AE81" s="419"/>
      <c r="AF81" s="419"/>
    </row>
    <row r="82" spans="1:32" x14ac:dyDescent="0.2">
      <c r="A82" s="1"/>
      <c r="B82" s="1" t="s">
        <v>698</v>
      </c>
      <c r="C82" s="409">
        <f t="shared" ref="C82:C87" si="34">C41</f>
        <v>0</v>
      </c>
      <c r="D82" s="409">
        <f t="shared" ref="D82:D87" si="35">D54</f>
        <v>0</v>
      </c>
      <c r="E82" s="411">
        <f t="shared" ref="E82:E87" si="36">G16</f>
        <v>0</v>
      </c>
      <c r="F82" s="411">
        <f t="shared" ref="F82:F87" si="37">E82*C82</f>
        <v>0</v>
      </c>
      <c r="G82" s="452">
        <v>0.05</v>
      </c>
      <c r="H82" s="411">
        <f t="shared" ref="H82:H87" si="38">F82*G82*D82/365</f>
        <v>0</v>
      </c>
      <c r="I82" s="1"/>
      <c r="J82" s="1"/>
      <c r="K82" s="1"/>
      <c r="L82" s="1"/>
      <c r="M82" s="1"/>
      <c r="N82" s="1"/>
      <c r="O82" s="1"/>
      <c r="P82" s="1"/>
      <c r="Q82" s="1"/>
      <c r="R82" s="1"/>
      <c r="S82" s="1"/>
      <c r="T82" s="1"/>
      <c r="U82" s="1"/>
      <c r="V82" s="1"/>
      <c r="W82" s="1"/>
      <c r="X82" s="1"/>
      <c r="AA82" s="419"/>
      <c r="AB82" s="419"/>
      <c r="AC82" s="419"/>
      <c r="AD82" s="419"/>
      <c r="AE82" s="419"/>
      <c r="AF82" s="419"/>
    </row>
    <row r="83" spans="1:32" x14ac:dyDescent="0.2">
      <c r="A83" s="1"/>
      <c r="B83" s="1" t="s">
        <v>699</v>
      </c>
      <c r="C83" s="409">
        <f t="shared" si="34"/>
        <v>0</v>
      </c>
      <c r="D83" s="409">
        <f t="shared" si="35"/>
        <v>0</v>
      </c>
      <c r="E83" s="411">
        <f t="shared" si="36"/>
        <v>0</v>
      </c>
      <c r="F83" s="411">
        <f t="shared" si="37"/>
        <v>0</v>
      </c>
      <c r="G83" s="452">
        <v>0.05</v>
      </c>
      <c r="H83" s="411">
        <f t="shared" si="38"/>
        <v>0</v>
      </c>
      <c r="I83" s="1"/>
      <c r="J83" s="1"/>
      <c r="K83" s="1"/>
      <c r="L83" s="1"/>
      <c r="M83" s="1"/>
      <c r="N83" s="1"/>
      <c r="O83" s="1"/>
      <c r="P83" s="1"/>
      <c r="Q83" s="1"/>
      <c r="R83" s="1"/>
      <c r="S83" s="1"/>
      <c r="T83" s="1"/>
      <c r="U83" s="1"/>
      <c r="V83" s="1"/>
      <c r="W83" s="1"/>
      <c r="X83" s="1"/>
      <c r="AA83" s="419"/>
      <c r="AB83" s="419"/>
      <c r="AC83" s="419"/>
      <c r="AD83" s="419"/>
      <c r="AE83" s="419"/>
      <c r="AF83" s="419"/>
    </row>
    <row r="84" spans="1:32" x14ac:dyDescent="0.2">
      <c r="A84" s="1"/>
      <c r="B84" s="1" t="s">
        <v>700</v>
      </c>
      <c r="C84" s="409">
        <f t="shared" si="34"/>
        <v>0</v>
      </c>
      <c r="D84" s="409">
        <f t="shared" si="35"/>
        <v>0</v>
      </c>
      <c r="E84" s="411">
        <f t="shared" si="36"/>
        <v>0</v>
      </c>
      <c r="F84" s="411">
        <f t="shared" si="37"/>
        <v>0</v>
      </c>
      <c r="G84" s="452">
        <v>0.05</v>
      </c>
      <c r="H84" s="411">
        <f t="shared" si="38"/>
        <v>0</v>
      </c>
      <c r="I84" s="1"/>
      <c r="J84" s="1"/>
      <c r="K84" s="1"/>
      <c r="L84" s="1"/>
      <c r="M84" s="1"/>
      <c r="N84" s="1"/>
      <c r="O84" s="1"/>
      <c r="P84" s="1"/>
      <c r="Q84" s="1"/>
      <c r="R84" s="1"/>
      <c r="S84" s="1"/>
      <c r="T84" s="1"/>
      <c r="U84" s="1"/>
      <c r="V84" s="1"/>
      <c r="W84" s="1"/>
      <c r="X84" s="1"/>
      <c r="AA84" s="419"/>
      <c r="AB84" s="419"/>
      <c r="AC84" s="419"/>
      <c r="AD84" s="419"/>
      <c r="AE84" s="419"/>
      <c r="AF84" s="419"/>
    </row>
    <row r="85" spans="1:32" x14ac:dyDescent="0.2">
      <c r="A85" s="1"/>
      <c r="B85" s="1" t="s">
        <v>701</v>
      </c>
      <c r="C85" s="409">
        <f t="shared" si="34"/>
        <v>0</v>
      </c>
      <c r="D85" s="409">
        <f t="shared" si="35"/>
        <v>0</v>
      </c>
      <c r="E85" s="411">
        <f t="shared" si="36"/>
        <v>0</v>
      </c>
      <c r="F85" s="411">
        <f t="shared" si="37"/>
        <v>0</v>
      </c>
      <c r="G85" s="452">
        <v>0.05</v>
      </c>
      <c r="H85" s="411">
        <f t="shared" si="38"/>
        <v>0</v>
      </c>
      <c r="I85" s="1"/>
      <c r="J85" s="1"/>
      <c r="K85" s="1"/>
      <c r="L85" s="1"/>
      <c r="M85" s="1"/>
      <c r="N85" s="1"/>
      <c r="O85" s="1"/>
      <c r="P85" s="1"/>
      <c r="Q85" s="1"/>
      <c r="R85" s="1"/>
      <c r="S85" s="1"/>
      <c r="T85" s="1"/>
      <c r="U85" s="1"/>
      <c r="V85" s="1"/>
      <c r="W85" s="1"/>
      <c r="X85" s="1"/>
      <c r="AA85" s="419"/>
      <c r="AB85" s="419"/>
      <c r="AC85" s="419"/>
      <c r="AD85" s="419"/>
      <c r="AE85" s="419"/>
      <c r="AF85" s="419"/>
    </row>
    <row r="86" spans="1:32" x14ac:dyDescent="0.2">
      <c r="A86" s="1"/>
      <c r="B86" s="1" t="s">
        <v>702</v>
      </c>
      <c r="C86" s="409">
        <f t="shared" si="34"/>
        <v>0</v>
      </c>
      <c r="D86" s="409">
        <f t="shared" si="35"/>
        <v>0</v>
      </c>
      <c r="E86" s="411">
        <f t="shared" si="36"/>
        <v>0</v>
      </c>
      <c r="F86" s="411">
        <f t="shared" si="37"/>
        <v>0</v>
      </c>
      <c r="G86" s="452">
        <v>0.05</v>
      </c>
      <c r="H86" s="411">
        <f t="shared" si="38"/>
        <v>0</v>
      </c>
      <c r="I86" s="1"/>
      <c r="J86" s="1"/>
      <c r="K86" s="1"/>
      <c r="L86" s="1"/>
      <c r="M86" s="1"/>
      <c r="N86" s="1"/>
      <c r="O86" s="1"/>
      <c r="P86" s="1"/>
      <c r="Q86" s="1"/>
      <c r="R86" s="1"/>
      <c r="S86" s="1"/>
      <c r="T86" s="1"/>
      <c r="U86" s="1"/>
      <c r="V86" s="1"/>
      <c r="W86" s="1"/>
      <c r="X86" s="1"/>
      <c r="AA86" s="419"/>
      <c r="AB86" s="419"/>
      <c r="AC86" s="419"/>
      <c r="AD86" s="419"/>
      <c r="AE86" s="419"/>
      <c r="AF86" s="419"/>
    </row>
    <row r="87" spans="1:32" x14ac:dyDescent="0.2">
      <c r="A87" s="1"/>
      <c r="B87" s="1" t="s">
        <v>703</v>
      </c>
      <c r="C87" s="409">
        <f t="shared" si="34"/>
        <v>0</v>
      </c>
      <c r="D87" s="409">
        <f t="shared" si="35"/>
        <v>0</v>
      </c>
      <c r="E87" s="411">
        <f t="shared" si="36"/>
        <v>0</v>
      </c>
      <c r="F87" s="411">
        <f t="shared" si="37"/>
        <v>0</v>
      </c>
      <c r="G87" s="452">
        <v>0.05</v>
      </c>
      <c r="H87" s="411">
        <f t="shared" si="38"/>
        <v>0</v>
      </c>
      <c r="I87" s="1"/>
      <c r="J87" s="1"/>
      <c r="K87" s="1"/>
      <c r="L87" s="1"/>
      <c r="M87" s="1"/>
      <c r="N87" s="1"/>
      <c r="O87" s="1"/>
      <c r="P87" s="1"/>
      <c r="Q87" s="1"/>
      <c r="R87" s="1"/>
      <c r="S87" s="1"/>
      <c r="T87" s="1"/>
      <c r="U87" s="1"/>
      <c r="V87" s="1"/>
      <c r="W87" s="1"/>
      <c r="X87" s="1"/>
      <c r="AA87" s="419"/>
      <c r="AB87" s="419"/>
      <c r="AC87" s="419"/>
      <c r="AD87" s="419"/>
      <c r="AE87" s="419"/>
      <c r="AF87" s="419"/>
    </row>
    <row r="88" spans="1:32" ht="15.75" thickBot="1" x14ac:dyDescent="0.25">
      <c r="A88" s="1"/>
      <c r="B88" s="1"/>
      <c r="C88" s="1"/>
      <c r="D88" s="1"/>
      <c r="E88" s="1"/>
      <c r="F88" s="1" t="s">
        <v>726</v>
      </c>
      <c r="G88" s="1"/>
      <c r="H88" s="440">
        <f>SUM(H82:H87)</f>
        <v>0</v>
      </c>
      <c r="I88" s="1"/>
      <c r="J88" s="1"/>
      <c r="K88" s="1"/>
      <c r="L88" s="1"/>
      <c r="M88" s="1"/>
      <c r="N88" s="1"/>
      <c r="O88" s="1"/>
      <c r="P88" s="1"/>
      <c r="Q88" s="1"/>
      <c r="R88" s="1"/>
      <c r="S88" s="1"/>
      <c r="T88" s="1"/>
      <c r="U88" s="1"/>
      <c r="V88" s="1"/>
      <c r="W88" s="1"/>
      <c r="X88" s="1"/>
      <c r="Y88" s="1"/>
      <c r="Z88" s="1"/>
      <c r="AA88" s="6"/>
    </row>
    <row r="89" spans="1:32" ht="15.75" thickTop="1" x14ac:dyDescent="0.2">
      <c r="A89" s="1"/>
      <c r="B89" s="1"/>
      <c r="C89" s="1"/>
      <c r="D89" s="1"/>
      <c r="E89" s="1"/>
      <c r="F89" s="1"/>
      <c r="G89" s="1"/>
      <c r="H89" s="1"/>
      <c r="I89" s="1"/>
      <c r="J89" s="1"/>
      <c r="K89" s="1"/>
      <c r="L89" s="1"/>
      <c r="M89" s="1"/>
      <c r="N89" s="1"/>
      <c r="O89" s="1"/>
      <c r="P89" s="1"/>
      <c r="Q89" s="1"/>
      <c r="R89" s="1"/>
      <c r="S89" s="1"/>
      <c r="T89" s="1"/>
      <c r="U89" s="1"/>
      <c r="V89" s="1"/>
      <c r="W89" s="1"/>
      <c r="X89" s="1"/>
      <c r="Y89" s="1"/>
      <c r="Z89" s="1"/>
      <c r="AA89" s="6"/>
    </row>
    <row r="90" spans="1:32" x14ac:dyDescent="0.2">
      <c r="A90" s="1"/>
      <c r="B90" s="1"/>
      <c r="C90" s="1"/>
      <c r="D90" s="1"/>
      <c r="E90" s="1"/>
      <c r="F90" s="1"/>
      <c r="G90" s="1"/>
      <c r="H90" s="1"/>
      <c r="I90" s="1"/>
      <c r="J90" s="1"/>
      <c r="K90" s="1"/>
      <c r="L90" s="1"/>
      <c r="M90" s="1"/>
      <c r="N90" s="1"/>
      <c r="O90" s="1"/>
      <c r="P90" s="1"/>
      <c r="Q90" s="1"/>
      <c r="R90" s="1"/>
      <c r="S90" s="1"/>
      <c r="T90" s="1"/>
      <c r="U90" s="1"/>
      <c r="V90" s="1"/>
      <c r="W90" s="1"/>
      <c r="X90" s="1"/>
      <c r="Y90" s="1"/>
      <c r="Z90" s="1"/>
      <c r="AA90" s="6"/>
    </row>
    <row r="91" spans="1:32" ht="15.75" x14ac:dyDescent="0.25">
      <c r="A91" s="1"/>
      <c r="B91" s="5" t="s">
        <v>727</v>
      </c>
      <c r="C91" s="1"/>
      <c r="D91" s="1"/>
      <c r="E91" s="1"/>
      <c r="F91" s="1"/>
      <c r="G91" s="1"/>
      <c r="H91" s="1"/>
      <c r="I91" s="1"/>
      <c r="J91" s="1"/>
      <c r="K91" s="1"/>
      <c r="L91" s="1"/>
      <c r="M91" s="1"/>
      <c r="N91" s="1"/>
      <c r="O91" s="1"/>
      <c r="P91" s="1"/>
      <c r="Q91" s="1"/>
      <c r="R91" s="1"/>
      <c r="S91" s="1"/>
      <c r="T91" s="1"/>
      <c r="U91" s="1"/>
      <c r="V91" s="1"/>
      <c r="W91" s="1"/>
      <c r="X91" s="1"/>
      <c r="Y91" s="1"/>
      <c r="Z91" s="1"/>
      <c r="AA91" s="6"/>
    </row>
    <row r="92" spans="1:32" x14ac:dyDescent="0.2">
      <c r="A92" s="1"/>
      <c r="B92" s="1"/>
      <c r="C92" s="1"/>
      <c r="D92" s="1"/>
      <c r="E92" s="1"/>
      <c r="F92" s="1"/>
      <c r="G92" s="1"/>
      <c r="H92" s="1"/>
      <c r="I92" s="1"/>
      <c r="J92" s="1"/>
      <c r="K92" s="1"/>
      <c r="L92" s="1"/>
      <c r="M92" s="1"/>
      <c r="N92" s="1"/>
      <c r="O92" s="1"/>
      <c r="P92" s="1"/>
      <c r="Q92" s="1"/>
      <c r="R92" s="1"/>
      <c r="S92" s="1"/>
      <c r="T92" s="1"/>
      <c r="U92" s="1"/>
      <c r="V92" s="1"/>
      <c r="W92" s="1"/>
      <c r="X92" s="1"/>
      <c r="Y92" s="1"/>
      <c r="Z92" s="1"/>
      <c r="AA92" s="6"/>
    </row>
    <row r="93" spans="1:32" ht="30" x14ac:dyDescent="0.2">
      <c r="A93" s="1"/>
      <c r="B93" s="1"/>
      <c r="C93" s="408" t="s">
        <v>892</v>
      </c>
      <c r="D93" s="408" t="s">
        <v>721</v>
      </c>
      <c r="E93" s="408" t="s">
        <v>728</v>
      </c>
      <c r="F93" s="408" t="s">
        <v>895</v>
      </c>
      <c r="G93" s="408" t="s">
        <v>673</v>
      </c>
      <c r="H93" s="408" t="s">
        <v>731</v>
      </c>
      <c r="I93" s="407" t="s">
        <v>659</v>
      </c>
      <c r="J93" s="407" t="s">
        <v>729</v>
      </c>
      <c r="K93" s="1"/>
      <c r="L93" s="1"/>
      <c r="M93" s="1"/>
      <c r="N93" s="1"/>
      <c r="O93" s="1"/>
      <c r="P93" s="1"/>
      <c r="Q93" s="1"/>
      <c r="R93" s="1"/>
      <c r="S93" s="1"/>
      <c r="T93" s="1"/>
      <c r="U93" s="1"/>
      <c r="V93" s="1"/>
      <c r="W93" s="1"/>
      <c r="X93" s="1"/>
      <c r="Y93" s="1"/>
      <c r="Z93" s="1"/>
      <c r="AA93" s="6"/>
    </row>
    <row r="94" spans="1:32" x14ac:dyDescent="0.2">
      <c r="A94" s="1"/>
      <c r="B94" s="1" t="s">
        <v>698</v>
      </c>
      <c r="C94" s="409">
        <f t="shared" ref="C94:C99" si="39">C41</f>
        <v>0</v>
      </c>
      <c r="D94" s="409">
        <f t="shared" ref="D94:D99" si="40">D54</f>
        <v>0</v>
      </c>
      <c r="E94" s="409">
        <f t="shared" ref="E94:E99" si="41">F16</f>
        <v>0</v>
      </c>
      <c r="F94" s="409">
        <f t="shared" ref="F94:F99" si="42">E54</f>
        <v>0</v>
      </c>
      <c r="G94" s="413">
        <f t="shared" ref="G94:G99" si="43">(POWER(((F94+E94)/2),0.75)/97.7)</f>
        <v>0</v>
      </c>
      <c r="H94" s="413">
        <f t="shared" ref="H94:H99" si="44">D94/365*G94*C94</f>
        <v>0</v>
      </c>
      <c r="I94" s="413">
        <f>IF(D8&lt;=0,0,H94/$D$8)</f>
        <v>0</v>
      </c>
      <c r="J94" s="413">
        <f t="shared" ref="J94:J100" si="45">IF(H94&lt;=0,0,$D$8/H94)</f>
        <v>0</v>
      </c>
      <c r="K94" s="1"/>
      <c r="L94" s="1"/>
      <c r="M94" s="1"/>
      <c r="N94" s="1"/>
      <c r="O94" s="1"/>
      <c r="P94" s="1"/>
      <c r="Q94" s="1"/>
      <c r="R94" s="1"/>
      <c r="S94" s="1"/>
      <c r="T94" s="1"/>
      <c r="U94" s="1"/>
      <c r="V94" s="1"/>
      <c r="W94" s="1"/>
      <c r="X94" s="1"/>
      <c r="Y94" s="1"/>
      <c r="Z94" s="1"/>
      <c r="AA94" s="6"/>
    </row>
    <row r="95" spans="1:32" x14ac:dyDescent="0.2">
      <c r="A95" s="1"/>
      <c r="B95" s="1" t="s">
        <v>699</v>
      </c>
      <c r="C95" s="409">
        <f t="shared" si="39"/>
        <v>0</v>
      </c>
      <c r="D95" s="409">
        <f t="shared" si="40"/>
        <v>0</v>
      </c>
      <c r="E95" s="409">
        <f t="shared" si="41"/>
        <v>0</v>
      </c>
      <c r="F95" s="409">
        <f t="shared" si="42"/>
        <v>0</v>
      </c>
      <c r="G95" s="413">
        <f t="shared" si="43"/>
        <v>0</v>
      </c>
      <c r="H95" s="413">
        <f t="shared" si="44"/>
        <v>0</v>
      </c>
      <c r="I95" s="413">
        <f>IF(D8&lt;=0,0,H95/$D$8)</f>
        <v>0</v>
      </c>
      <c r="J95" s="413">
        <f t="shared" si="45"/>
        <v>0</v>
      </c>
      <c r="K95" s="1"/>
      <c r="L95" s="1"/>
      <c r="M95" s="1"/>
      <c r="N95" s="1"/>
      <c r="O95" s="1"/>
      <c r="P95" s="1"/>
      <c r="Q95" s="1"/>
      <c r="R95" s="1"/>
      <c r="S95" s="1"/>
      <c r="T95" s="1"/>
      <c r="U95" s="1"/>
      <c r="V95" s="1"/>
      <c r="W95" s="1"/>
      <c r="X95" s="1"/>
      <c r="Y95" s="1"/>
      <c r="Z95" s="1"/>
      <c r="AA95" s="6"/>
    </row>
    <row r="96" spans="1:32" x14ac:dyDescent="0.2">
      <c r="A96" s="1"/>
      <c r="B96" s="1" t="s">
        <v>700</v>
      </c>
      <c r="C96" s="409">
        <f t="shared" si="39"/>
        <v>0</v>
      </c>
      <c r="D96" s="409">
        <f t="shared" si="40"/>
        <v>0</v>
      </c>
      <c r="E96" s="409">
        <f t="shared" si="41"/>
        <v>0</v>
      </c>
      <c r="F96" s="409">
        <f t="shared" si="42"/>
        <v>0</v>
      </c>
      <c r="G96" s="413">
        <f t="shared" si="43"/>
        <v>0</v>
      </c>
      <c r="H96" s="413">
        <f t="shared" si="44"/>
        <v>0</v>
      </c>
      <c r="I96" s="413">
        <f>IF(D8&lt;=0,0,H96/$D$8)</f>
        <v>0</v>
      </c>
      <c r="J96" s="413">
        <f t="shared" si="45"/>
        <v>0</v>
      </c>
      <c r="K96" s="1"/>
      <c r="L96" s="1"/>
      <c r="M96" s="1"/>
      <c r="N96" s="1"/>
      <c r="O96" s="1"/>
      <c r="P96" s="1"/>
      <c r="Q96" s="1"/>
      <c r="R96" s="1"/>
      <c r="S96" s="1"/>
      <c r="T96" s="1"/>
      <c r="U96" s="1"/>
      <c r="V96" s="1"/>
      <c r="W96" s="1"/>
      <c r="X96" s="1"/>
      <c r="Y96" s="1"/>
      <c r="Z96" s="1"/>
      <c r="AA96" s="6"/>
    </row>
    <row r="97" spans="1:44" x14ac:dyDescent="0.2">
      <c r="A97" s="1"/>
      <c r="B97" s="1" t="s">
        <v>701</v>
      </c>
      <c r="C97" s="409">
        <f t="shared" si="39"/>
        <v>0</v>
      </c>
      <c r="D97" s="409">
        <f t="shared" si="40"/>
        <v>0</v>
      </c>
      <c r="E97" s="409">
        <f t="shared" si="41"/>
        <v>0</v>
      </c>
      <c r="F97" s="409">
        <f t="shared" si="42"/>
        <v>0</v>
      </c>
      <c r="G97" s="413">
        <f t="shared" si="43"/>
        <v>0</v>
      </c>
      <c r="H97" s="413">
        <f t="shared" si="44"/>
        <v>0</v>
      </c>
      <c r="I97" s="413">
        <f>IF(D8&lt;=0,0,H97/$D$8)</f>
        <v>0</v>
      </c>
      <c r="J97" s="413">
        <f t="shared" si="45"/>
        <v>0</v>
      </c>
      <c r="K97" s="1"/>
      <c r="L97" s="1"/>
      <c r="M97" s="1"/>
      <c r="N97" s="1"/>
      <c r="O97" s="1"/>
      <c r="P97" s="1"/>
      <c r="Q97" s="1"/>
      <c r="R97" s="1"/>
      <c r="S97" s="1"/>
      <c r="T97" s="1"/>
      <c r="U97" s="1"/>
      <c r="V97" s="1"/>
      <c r="W97" s="1"/>
      <c r="X97" s="1"/>
      <c r="Y97" s="1"/>
      <c r="Z97" s="1"/>
      <c r="AA97" s="6"/>
    </row>
    <row r="98" spans="1:44" x14ac:dyDescent="0.2">
      <c r="A98" s="1"/>
      <c r="B98" s="1" t="s">
        <v>702</v>
      </c>
      <c r="C98" s="409">
        <f t="shared" si="39"/>
        <v>0</v>
      </c>
      <c r="D98" s="409">
        <f t="shared" si="40"/>
        <v>0</v>
      </c>
      <c r="E98" s="409">
        <f t="shared" si="41"/>
        <v>0</v>
      </c>
      <c r="F98" s="409">
        <f t="shared" si="42"/>
        <v>0</v>
      </c>
      <c r="G98" s="413">
        <f t="shared" si="43"/>
        <v>0</v>
      </c>
      <c r="H98" s="413">
        <f t="shared" si="44"/>
        <v>0</v>
      </c>
      <c r="I98" s="413">
        <f>IF(D8&lt;=0,0,H98/$D$8)</f>
        <v>0</v>
      </c>
      <c r="J98" s="413">
        <f t="shared" si="45"/>
        <v>0</v>
      </c>
      <c r="K98" s="1"/>
      <c r="L98" s="1"/>
      <c r="M98" s="1"/>
      <c r="N98" s="1"/>
      <c r="O98" s="1"/>
      <c r="P98" s="1"/>
      <c r="Q98" s="1"/>
      <c r="R98" s="1"/>
      <c r="S98" s="1"/>
      <c r="T98" s="1"/>
      <c r="U98" s="1"/>
      <c r="V98" s="1"/>
      <c r="W98" s="1"/>
      <c r="X98" s="1"/>
      <c r="Y98" s="1"/>
      <c r="Z98" s="1"/>
      <c r="AA98" s="6"/>
    </row>
    <row r="99" spans="1:44" x14ac:dyDescent="0.2">
      <c r="A99" s="1"/>
      <c r="B99" s="1" t="s">
        <v>703</v>
      </c>
      <c r="C99" s="409">
        <f t="shared" si="39"/>
        <v>0</v>
      </c>
      <c r="D99" s="409">
        <f t="shared" si="40"/>
        <v>0</v>
      </c>
      <c r="E99" s="409">
        <f t="shared" si="41"/>
        <v>0</v>
      </c>
      <c r="F99" s="409">
        <f t="shared" si="42"/>
        <v>0</v>
      </c>
      <c r="G99" s="413">
        <f t="shared" si="43"/>
        <v>0</v>
      </c>
      <c r="H99" s="413">
        <f t="shared" si="44"/>
        <v>0</v>
      </c>
      <c r="I99" s="413">
        <f>IF(D8&lt;=0,0,H99/$D$8)</f>
        <v>0</v>
      </c>
      <c r="J99" s="413">
        <f t="shared" si="45"/>
        <v>0</v>
      </c>
      <c r="K99" s="1"/>
      <c r="L99" s="1"/>
      <c r="M99" s="1"/>
      <c r="N99" s="1"/>
      <c r="O99" s="1"/>
      <c r="P99" s="1"/>
      <c r="Q99" s="1"/>
      <c r="R99" s="1"/>
      <c r="S99" s="1"/>
      <c r="T99" s="1"/>
      <c r="U99" s="1"/>
      <c r="V99" s="1"/>
      <c r="W99" s="1"/>
      <c r="X99" s="1"/>
      <c r="Y99" s="1"/>
      <c r="Z99" s="1"/>
      <c r="AA99" s="6"/>
    </row>
    <row r="100" spans="1:44" x14ac:dyDescent="0.2">
      <c r="A100" s="1"/>
      <c r="B100" s="1"/>
      <c r="C100" s="1"/>
      <c r="D100" s="1"/>
      <c r="E100" s="1"/>
      <c r="F100" s="1"/>
      <c r="G100" s="1" t="s">
        <v>730</v>
      </c>
      <c r="H100" s="453">
        <f>SUM(H94:H99)</f>
        <v>0</v>
      </c>
      <c r="I100" s="418">
        <f>IF(D8&lt;=0,0,H100/$D$8)</f>
        <v>0</v>
      </c>
      <c r="J100" s="418">
        <f t="shared" si="45"/>
        <v>0</v>
      </c>
      <c r="K100" s="1"/>
      <c r="L100" s="1"/>
      <c r="M100" s="1"/>
      <c r="N100" s="1"/>
      <c r="O100" s="1"/>
      <c r="P100" s="1"/>
      <c r="Q100" s="1"/>
      <c r="R100" s="1"/>
      <c r="S100" s="1"/>
      <c r="T100" s="1"/>
      <c r="U100" s="1"/>
      <c r="V100" s="1"/>
      <c r="W100" s="1"/>
      <c r="X100" s="1"/>
      <c r="Y100" s="1"/>
      <c r="Z100" s="1"/>
      <c r="AA100" s="6"/>
    </row>
    <row r="101" spans="1:44"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6"/>
    </row>
    <row r="102" spans="1:44" x14ac:dyDescent="0.2">
      <c r="A102" s="1"/>
      <c r="B102" s="1"/>
      <c r="C102" s="1"/>
      <c r="D102" s="1"/>
      <c r="E102" s="1"/>
      <c r="F102" s="1"/>
      <c r="G102" s="1"/>
      <c r="H102" s="1"/>
      <c r="I102" s="1"/>
      <c r="J102" s="1"/>
      <c r="K102" s="1"/>
      <c r="L102" s="1"/>
      <c r="M102" s="1"/>
      <c r="N102" s="1"/>
      <c r="O102" s="1"/>
      <c r="P102" s="1"/>
      <c r="Q102" s="1"/>
      <c r="R102" s="1" t="s">
        <v>788</v>
      </c>
      <c r="S102" s="1"/>
      <c r="T102" s="1"/>
      <c r="U102" s="1"/>
      <c r="W102" s="1"/>
      <c r="X102" s="1"/>
      <c r="Y102" s="1" t="s">
        <v>789</v>
      </c>
      <c r="Z102" s="1"/>
      <c r="AA102" s="6"/>
    </row>
    <row r="103" spans="1:44"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6"/>
    </row>
    <row r="104" spans="1:44"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6"/>
    </row>
    <row r="105" spans="1:44" ht="15.75" x14ac:dyDescent="0.25">
      <c r="A105" s="1"/>
      <c r="B105" s="446" t="s">
        <v>397</v>
      </c>
      <c r="C105" s="1"/>
      <c r="D105" s="1"/>
      <c r="E105" s="1"/>
      <c r="F105" s="1"/>
      <c r="G105" s="1"/>
      <c r="H105" s="1"/>
      <c r="I105" s="1"/>
      <c r="J105" s="1"/>
      <c r="K105" s="1"/>
      <c r="L105" s="1"/>
      <c r="M105" s="1"/>
      <c r="N105" s="1"/>
      <c r="O105" s="1"/>
      <c r="P105" s="1"/>
      <c r="Q105" s="1"/>
      <c r="R105" s="1"/>
      <c r="S105" s="1"/>
      <c r="T105" s="1"/>
      <c r="U105" s="1"/>
      <c r="V105" s="1"/>
      <c r="W105" s="1"/>
      <c r="X105" s="1"/>
      <c r="Y105" s="1"/>
      <c r="Z105" s="1"/>
      <c r="AA105" s="6"/>
    </row>
    <row r="106" spans="1:44" x14ac:dyDescent="0.2">
      <c r="A106" s="1"/>
      <c r="B106" s="1"/>
      <c r="C106" s="1"/>
      <c r="D106" s="1"/>
      <c r="E106" s="1"/>
      <c r="F106" s="1"/>
      <c r="G106" s="1"/>
      <c r="H106" s="1"/>
      <c r="I106" s="1"/>
      <c r="J106" s="1"/>
      <c r="K106" s="1"/>
      <c r="L106" s="1"/>
      <c r="M106" s="1"/>
      <c r="N106" s="1"/>
      <c r="O106" s="1"/>
      <c r="P106" s="1"/>
      <c r="Q106" s="1"/>
    </row>
    <row r="107" spans="1:44" ht="15.75" x14ac:dyDescent="0.25">
      <c r="C107" s="446" t="s">
        <v>620</v>
      </c>
      <c r="D107" s="1" t="s">
        <v>398</v>
      </c>
      <c r="E107" s="1"/>
      <c r="F107" s="1"/>
      <c r="G107" s="1"/>
      <c r="H107" s="1"/>
      <c r="I107" s="1"/>
      <c r="J107" s="1"/>
      <c r="L107" s="446" t="s">
        <v>582</v>
      </c>
      <c r="N107" s="446" t="s">
        <v>620</v>
      </c>
      <c r="O107" s="1"/>
      <c r="P107" s="1"/>
      <c r="Q107" s="1"/>
      <c r="R107" s="1"/>
      <c r="S107" s="1"/>
      <c r="T107" s="1"/>
      <c r="U107" s="1"/>
      <c r="Y107" s="446" t="s">
        <v>795</v>
      </c>
      <c r="Z107" s="446" t="s">
        <v>393</v>
      </c>
      <c r="AA107" s="6"/>
      <c r="AB107" s="6"/>
      <c r="AC107" s="6"/>
      <c r="AD107" s="6"/>
      <c r="AE107" s="6"/>
      <c r="AF107" s="6"/>
      <c r="AG107" s="1"/>
      <c r="AI107" s="446" t="s">
        <v>582</v>
      </c>
      <c r="AJ107" s="446" t="s">
        <v>393</v>
      </c>
      <c r="AL107" s="1"/>
      <c r="AM107" s="1"/>
      <c r="AN107" s="1"/>
      <c r="AO107" s="1"/>
      <c r="AP107" s="1"/>
      <c r="AQ107" s="1"/>
      <c r="AR107" s="1"/>
    </row>
    <row r="108" spans="1:44" x14ac:dyDescent="0.2">
      <c r="B108" s="65"/>
      <c r="C108" s="1"/>
      <c r="D108" s="14"/>
      <c r="E108" s="14"/>
      <c r="F108" s="14"/>
      <c r="G108" s="14"/>
      <c r="H108" s="14"/>
      <c r="I108" s="14"/>
      <c r="J108" s="14"/>
      <c r="L108" s="65"/>
      <c r="M108" s="1"/>
      <c r="N108" s="14"/>
      <c r="O108" s="14"/>
      <c r="P108" s="14"/>
      <c r="Q108" s="14"/>
      <c r="R108" s="14"/>
      <c r="S108" s="14"/>
      <c r="T108" s="14"/>
      <c r="U108" s="14"/>
      <c r="Y108" s="65"/>
      <c r="Z108" s="1"/>
      <c r="AA108" s="6"/>
      <c r="AB108" s="6"/>
      <c r="AC108" s="6"/>
      <c r="AD108" s="6"/>
      <c r="AE108" s="6"/>
      <c r="AF108" s="6"/>
      <c r="AG108" s="14"/>
      <c r="AI108" s="65"/>
      <c r="AJ108" s="1"/>
      <c r="AK108" s="14"/>
      <c r="AL108" s="14"/>
      <c r="AM108" s="14"/>
      <c r="AN108" s="14"/>
      <c r="AO108" s="14"/>
      <c r="AP108" s="14"/>
      <c r="AQ108" s="14"/>
      <c r="AR108" s="14"/>
    </row>
    <row r="109" spans="1:44" ht="15.75" x14ac:dyDescent="0.25">
      <c r="B109" s="482" t="s">
        <v>994</v>
      </c>
      <c r="C109" s="483" t="s">
        <v>583</v>
      </c>
      <c r="D109" s="484" t="s">
        <v>616</v>
      </c>
      <c r="E109" s="482" t="s">
        <v>619</v>
      </c>
      <c r="F109" s="485" t="s">
        <v>617</v>
      </c>
      <c r="G109" s="485" t="s">
        <v>245</v>
      </c>
      <c r="H109" s="486" t="s">
        <v>489</v>
      </c>
      <c r="I109" s="486" t="s">
        <v>490</v>
      </c>
      <c r="L109" s="482" t="s">
        <v>994</v>
      </c>
      <c r="M109" s="483" t="s">
        <v>583</v>
      </c>
      <c r="N109" s="484" t="s">
        <v>616</v>
      </c>
      <c r="O109" s="482" t="s">
        <v>619</v>
      </c>
      <c r="P109" s="485" t="s">
        <v>617</v>
      </c>
      <c r="Q109" s="482"/>
      <c r="R109" s="485" t="s">
        <v>245</v>
      </c>
      <c r="S109" s="487" t="s">
        <v>489</v>
      </c>
      <c r="T109" s="487" t="s">
        <v>490</v>
      </c>
      <c r="U109" s="1"/>
      <c r="Y109" s="488" t="s">
        <v>994</v>
      </c>
      <c r="Z109" s="94" t="s">
        <v>583</v>
      </c>
      <c r="AA109" s="488" t="s">
        <v>616</v>
      </c>
      <c r="AB109" s="488" t="s">
        <v>619</v>
      </c>
      <c r="AC109" s="488" t="s">
        <v>617</v>
      </c>
      <c r="AD109" s="488" t="s">
        <v>618</v>
      </c>
      <c r="AE109" s="489" t="s">
        <v>489</v>
      </c>
      <c r="AF109" s="489" t="s">
        <v>490</v>
      </c>
      <c r="AI109" s="488" t="s">
        <v>994</v>
      </c>
      <c r="AJ109" s="94" t="s">
        <v>583</v>
      </c>
      <c r="AK109" s="490" t="s">
        <v>616</v>
      </c>
      <c r="AL109" s="488" t="s">
        <v>619</v>
      </c>
      <c r="AM109" s="74" t="s">
        <v>617</v>
      </c>
      <c r="AN109" s="488"/>
      <c r="AO109" s="74" t="s">
        <v>618</v>
      </c>
      <c r="AP109" s="72" t="s">
        <v>489</v>
      </c>
      <c r="AQ109" s="72" t="s">
        <v>490</v>
      </c>
      <c r="AR109" s="1"/>
    </row>
    <row r="110" spans="1:44" ht="15.75" x14ac:dyDescent="0.25">
      <c r="B110" s="305"/>
      <c r="C110" s="491" t="str">
        <f>IF(B110&lt;=0,"",VLOOKUP(B110,Treatments!$C$7:$J$407,2))</f>
        <v/>
      </c>
      <c r="D110" s="306"/>
      <c r="E110" s="433">
        <f>VLOOKUP(B110,Treatments!$C$7:$J$407,8)</f>
        <v>0</v>
      </c>
      <c r="F110" s="305"/>
      <c r="G110" s="308"/>
      <c r="H110" s="433">
        <f>D110*E110*F110*G110</f>
        <v>0</v>
      </c>
      <c r="I110" s="411">
        <f>H110*$D$9</f>
        <v>0</v>
      </c>
      <c r="L110" s="305"/>
      <c r="M110" s="491" t="str">
        <f>VLOOKUP(L110,Treatments!$C$7:$J$407,2)</f>
        <v>No treatment</v>
      </c>
      <c r="N110" s="306"/>
      <c r="O110" s="433">
        <f>VLOOKUP(L110,Treatments!$C$7:$J$407,8)</f>
        <v>0</v>
      </c>
      <c r="P110" s="305"/>
      <c r="Q110" s="494"/>
      <c r="R110" s="493"/>
      <c r="S110" s="433">
        <f t="shared" ref="S110:S115" si="46">N110*O110*P110*R110</f>
        <v>0</v>
      </c>
      <c r="T110" s="411">
        <f t="shared" ref="T110:T115" si="47">S110*$D$9</f>
        <v>0</v>
      </c>
      <c r="U110" s="1"/>
      <c r="Y110" s="447">
        <f>IF(AND(B110&gt;=344,B110&lt;=358),B110+15,B110)</f>
        <v>0</v>
      </c>
      <c r="Z110" s="491" t="str">
        <f>VLOOKUP(Y110,Treatments!$C$7:$J$407,2)</f>
        <v>No treatment</v>
      </c>
      <c r="AA110" s="495">
        <f>D110</f>
        <v>0</v>
      </c>
      <c r="AB110" s="433">
        <f>VLOOKUP(Y110,Treatments!$C$7:$J$407,8)</f>
        <v>0</v>
      </c>
      <c r="AC110" s="495">
        <f>F110</f>
        <v>0</v>
      </c>
      <c r="AD110" s="496">
        <f>G110</f>
        <v>0</v>
      </c>
      <c r="AE110" s="433">
        <f>AA110*AB110*AC110*AD110</f>
        <v>0</v>
      </c>
      <c r="AF110" s="411">
        <f t="shared" ref="AF110:AF124" si="48">AE110*$D$9</f>
        <v>0</v>
      </c>
      <c r="AI110" s="447">
        <f t="shared" ref="AI110:AI115" si="49">IF(AND(L110&gt;=344,L110&lt;=358),L110+15,L110)</f>
        <v>0</v>
      </c>
      <c r="AJ110" s="491" t="str">
        <f>VLOOKUP(AI110,Treatments!$C$7:$J$407,2)</f>
        <v>No treatment</v>
      </c>
      <c r="AK110" s="495">
        <f t="shared" ref="AK110:AK115" si="50">N110</f>
        <v>0</v>
      </c>
      <c r="AL110" s="433">
        <f>VLOOKUP(AI110,Treatments!$C$7:$J$407,8)</f>
        <v>0</v>
      </c>
      <c r="AM110" s="495">
        <f t="shared" ref="AM110:AM115" si="51">P110</f>
        <v>0</v>
      </c>
      <c r="AN110" s="494"/>
      <c r="AO110" s="496">
        <f t="shared" ref="AO110:AO115" si="52">R110</f>
        <v>0</v>
      </c>
      <c r="AP110" s="433">
        <f t="shared" ref="AP110:AP115" si="53">AK110*AL110*AM110*AO110</f>
        <v>0</v>
      </c>
      <c r="AQ110" s="411">
        <f t="shared" ref="AQ110:AQ115" si="54">AP110*$D$9</f>
        <v>0</v>
      </c>
      <c r="AR110" s="1"/>
    </row>
    <row r="111" spans="1:44" ht="15.75" x14ac:dyDescent="0.25">
      <c r="B111" s="305"/>
      <c r="C111" s="491" t="str">
        <f>IF(B111&lt;=0,"",VLOOKUP(B111,Treatments!$C$7:$J$407,2))</f>
        <v/>
      </c>
      <c r="D111" s="306"/>
      <c r="E111" s="433">
        <f>VLOOKUP(B111,Treatments!$C$7:$J$407,8)</f>
        <v>0</v>
      </c>
      <c r="F111" s="305"/>
      <c r="G111" s="308"/>
      <c r="H111" s="433">
        <f>D111*E111*F111*G111</f>
        <v>0</v>
      </c>
      <c r="I111" s="411">
        <f t="shared" ref="I111:I124" si="55">H111*$D$9</f>
        <v>0</v>
      </c>
      <c r="L111" s="305"/>
      <c r="M111" s="491" t="str">
        <f>VLOOKUP(L111,Treatments!$C$7:$J$407,2)</f>
        <v>No treatment</v>
      </c>
      <c r="N111" s="306"/>
      <c r="O111" s="433">
        <f>VLOOKUP(L111,Treatments!$C$7:$J$407,8)</f>
        <v>0</v>
      </c>
      <c r="P111" s="305"/>
      <c r="Q111" s="497"/>
      <c r="R111" s="493"/>
      <c r="S111" s="433">
        <f t="shared" si="46"/>
        <v>0</v>
      </c>
      <c r="T111" s="411">
        <f t="shared" si="47"/>
        <v>0</v>
      </c>
      <c r="U111" s="1"/>
      <c r="Y111" s="447">
        <f t="shared" ref="Y111:Y124" si="56">IF(AND(B111&gt;=344,B111&lt;=358),B111+15,B111)</f>
        <v>0</v>
      </c>
      <c r="Z111" s="491" t="str">
        <f>VLOOKUP(Y111,Treatments!$C$7:$J$407,2)</f>
        <v>No treatment</v>
      </c>
      <c r="AA111" s="495">
        <f t="shared" ref="AA111:AA124" si="57">D111</f>
        <v>0</v>
      </c>
      <c r="AB111" s="433">
        <f>VLOOKUP(Y111,Treatments!$C$7:$J$407,8)</f>
        <v>0</v>
      </c>
      <c r="AC111" s="495">
        <f t="shared" ref="AC111:AD124" si="58">F111</f>
        <v>0</v>
      </c>
      <c r="AD111" s="496">
        <f t="shared" si="58"/>
        <v>0</v>
      </c>
      <c r="AE111" s="433">
        <f>AA111*AB111*AC111*AD111</f>
        <v>0</v>
      </c>
      <c r="AF111" s="411">
        <f t="shared" si="48"/>
        <v>0</v>
      </c>
      <c r="AI111" s="447">
        <f t="shared" si="49"/>
        <v>0</v>
      </c>
      <c r="AJ111" s="491" t="str">
        <f>VLOOKUP(AI111,Treatments!$C$7:$J$407,2)</f>
        <v>No treatment</v>
      </c>
      <c r="AK111" s="495">
        <f t="shared" si="50"/>
        <v>0</v>
      </c>
      <c r="AL111" s="433">
        <f>VLOOKUP(AI111,Treatments!$C$7:$J$407,8)</f>
        <v>0</v>
      </c>
      <c r="AM111" s="495">
        <f t="shared" si="51"/>
        <v>0</v>
      </c>
      <c r="AN111" s="497"/>
      <c r="AO111" s="496">
        <f t="shared" si="52"/>
        <v>0</v>
      </c>
      <c r="AP111" s="433">
        <f t="shared" si="53"/>
        <v>0</v>
      </c>
      <c r="AQ111" s="411">
        <f t="shared" si="54"/>
        <v>0</v>
      </c>
      <c r="AR111" s="1"/>
    </row>
    <row r="112" spans="1:44" ht="15.75" x14ac:dyDescent="0.25">
      <c r="B112" s="305"/>
      <c r="C112" s="491" t="str">
        <f>IF(B112&lt;=0,"",VLOOKUP(B112,Treatments!$C$7:$J$407,2))</f>
        <v/>
      </c>
      <c r="D112" s="306"/>
      <c r="E112" s="433">
        <f>VLOOKUP(B112,Treatments!$C$7:$J$407,8)</f>
        <v>0</v>
      </c>
      <c r="F112" s="305"/>
      <c r="G112" s="308"/>
      <c r="H112" s="433">
        <f t="shared" ref="H112:H122" si="59">D112*E112*F112*G112</f>
        <v>0</v>
      </c>
      <c r="I112" s="411">
        <f t="shared" si="55"/>
        <v>0</v>
      </c>
      <c r="L112" s="305"/>
      <c r="M112" s="491" t="str">
        <f>VLOOKUP(L112,Treatments!$C$7:$J$407,2)</f>
        <v>No treatment</v>
      </c>
      <c r="N112" s="306"/>
      <c r="O112" s="433">
        <f>VLOOKUP(L112,Treatments!$C$7:$J$407,8)</f>
        <v>0</v>
      </c>
      <c r="P112" s="305"/>
      <c r="Q112" s="160"/>
      <c r="R112" s="493"/>
      <c r="S112" s="433">
        <f t="shared" si="46"/>
        <v>0</v>
      </c>
      <c r="T112" s="411">
        <f t="shared" si="47"/>
        <v>0</v>
      </c>
      <c r="U112" s="1"/>
      <c r="Y112" s="447">
        <f t="shared" si="56"/>
        <v>0</v>
      </c>
      <c r="Z112" s="491" t="str">
        <f>VLOOKUP(Y112,Treatments!$C$7:$J$407,2)</f>
        <v>No treatment</v>
      </c>
      <c r="AA112" s="495">
        <f t="shared" si="57"/>
        <v>0</v>
      </c>
      <c r="AB112" s="433">
        <f>VLOOKUP(Y112,Treatments!$C$7:$J$407,8)</f>
        <v>0</v>
      </c>
      <c r="AC112" s="495">
        <f t="shared" si="58"/>
        <v>0</v>
      </c>
      <c r="AD112" s="496">
        <f t="shared" si="58"/>
        <v>0</v>
      </c>
      <c r="AE112" s="433">
        <f t="shared" ref="AE112:AE122" si="60">AA112*AB112*AC112*AD112</f>
        <v>0</v>
      </c>
      <c r="AF112" s="411">
        <f t="shared" si="48"/>
        <v>0</v>
      </c>
      <c r="AI112" s="447">
        <f t="shared" si="49"/>
        <v>0</v>
      </c>
      <c r="AJ112" s="491" t="str">
        <f>VLOOKUP(AI112,Treatments!$C$7:$J$407,2)</f>
        <v>No treatment</v>
      </c>
      <c r="AK112" s="495">
        <f t="shared" si="50"/>
        <v>0</v>
      </c>
      <c r="AL112" s="433">
        <f>VLOOKUP(AI112,Treatments!$C$7:$J$407,8)</f>
        <v>0</v>
      </c>
      <c r="AM112" s="495">
        <f t="shared" si="51"/>
        <v>0</v>
      </c>
      <c r="AN112" s="160"/>
      <c r="AO112" s="496">
        <f t="shared" si="52"/>
        <v>0</v>
      </c>
      <c r="AP112" s="433">
        <f t="shared" si="53"/>
        <v>0</v>
      </c>
      <c r="AQ112" s="411">
        <f t="shared" si="54"/>
        <v>0</v>
      </c>
      <c r="AR112" s="1"/>
    </row>
    <row r="113" spans="2:44" ht="15.75" x14ac:dyDescent="0.25">
      <c r="B113" s="305"/>
      <c r="C113" s="491" t="str">
        <f>IF(B113&lt;=0,"",VLOOKUP(B113,Treatments!$C$7:$J$407,2))</f>
        <v/>
      </c>
      <c r="D113" s="306"/>
      <c r="E113" s="433">
        <f>VLOOKUP(B113,Treatments!$C$7:$J$407,8)</f>
        <v>0</v>
      </c>
      <c r="F113" s="305"/>
      <c r="G113" s="308"/>
      <c r="H113" s="433">
        <f t="shared" si="59"/>
        <v>0</v>
      </c>
      <c r="I113" s="411">
        <f t="shared" si="55"/>
        <v>0</v>
      </c>
      <c r="L113" s="305"/>
      <c r="M113" s="491" t="str">
        <f>VLOOKUP(L113,Treatments!$C$7:$J$407,2)</f>
        <v>No treatment</v>
      </c>
      <c r="N113" s="306"/>
      <c r="O113" s="433">
        <f>VLOOKUP(L113,Treatments!$C$7:$J$407,8)</f>
        <v>0</v>
      </c>
      <c r="P113" s="305"/>
      <c r="Q113" s="498"/>
      <c r="R113" s="493"/>
      <c r="S113" s="433">
        <f t="shared" si="46"/>
        <v>0</v>
      </c>
      <c r="T113" s="411">
        <f t="shared" si="47"/>
        <v>0</v>
      </c>
      <c r="U113" s="1"/>
      <c r="Y113" s="447">
        <f t="shared" si="56"/>
        <v>0</v>
      </c>
      <c r="Z113" s="491" t="str">
        <f>VLOOKUP(Y113,Treatments!$C$7:$J$407,2)</f>
        <v>No treatment</v>
      </c>
      <c r="AA113" s="495">
        <f t="shared" si="57"/>
        <v>0</v>
      </c>
      <c r="AB113" s="433">
        <f>VLOOKUP(Y113,Treatments!$C$7:$J$407,8)</f>
        <v>0</v>
      </c>
      <c r="AC113" s="495">
        <f t="shared" si="58"/>
        <v>0</v>
      </c>
      <c r="AD113" s="496">
        <f t="shared" si="58"/>
        <v>0</v>
      </c>
      <c r="AE113" s="433">
        <f t="shared" si="60"/>
        <v>0</v>
      </c>
      <c r="AF113" s="411">
        <f t="shared" si="48"/>
        <v>0</v>
      </c>
      <c r="AI113" s="447">
        <f t="shared" si="49"/>
        <v>0</v>
      </c>
      <c r="AJ113" s="491" t="str">
        <f>VLOOKUP(AI113,Treatments!$C$7:$J$407,2)</f>
        <v>No treatment</v>
      </c>
      <c r="AK113" s="495">
        <f t="shared" si="50"/>
        <v>0</v>
      </c>
      <c r="AL113" s="433">
        <f>VLOOKUP(AI113,Treatments!$C$7:$J$407,8)</f>
        <v>0</v>
      </c>
      <c r="AM113" s="495">
        <f t="shared" si="51"/>
        <v>0</v>
      </c>
      <c r="AN113" s="498"/>
      <c r="AO113" s="496">
        <f t="shared" si="52"/>
        <v>0</v>
      </c>
      <c r="AP113" s="433">
        <f t="shared" si="53"/>
        <v>0</v>
      </c>
      <c r="AQ113" s="411">
        <f t="shared" si="54"/>
        <v>0</v>
      </c>
      <c r="AR113" s="1"/>
    </row>
    <row r="114" spans="2:44" ht="15.75" x14ac:dyDescent="0.25">
      <c r="B114" s="305"/>
      <c r="C114" s="491" t="str">
        <f>IF(B114&lt;=0,"",VLOOKUP(B114,Treatments!$C$7:$J$407,2))</f>
        <v/>
      </c>
      <c r="D114" s="306"/>
      <c r="E114" s="433">
        <f>VLOOKUP(B114,Treatments!$C$7:$J$407,8)</f>
        <v>0</v>
      </c>
      <c r="F114" s="305"/>
      <c r="G114" s="308"/>
      <c r="H114" s="433">
        <f t="shared" si="59"/>
        <v>0</v>
      </c>
      <c r="I114" s="411">
        <f t="shared" si="55"/>
        <v>0</v>
      </c>
      <c r="L114" s="435"/>
      <c r="M114" s="491" t="str">
        <f>VLOOKUP(L114,Treatments!$C$7:$J$407,2)</f>
        <v>No treatment</v>
      </c>
      <c r="N114" s="492"/>
      <c r="O114" s="433">
        <f>VLOOKUP(L114,Treatments!$C$7:$J$407,8)</f>
        <v>0</v>
      </c>
      <c r="P114" s="435"/>
      <c r="Q114" s="498"/>
      <c r="R114" s="493"/>
      <c r="S114" s="433">
        <f t="shared" si="46"/>
        <v>0</v>
      </c>
      <c r="T114" s="411">
        <f t="shared" si="47"/>
        <v>0</v>
      </c>
      <c r="U114" s="1"/>
      <c r="Y114" s="447">
        <f t="shared" si="56"/>
        <v>0</v>
      </c>
      <c r="Z114" s="491" t="str">
        <f>VLOOKUP(Y114,Treatments!$C$7:$J$407,2)</f>
        <v>No treatment</v>
      </c>
      <c r="AA114" s="495">
        <f t="shared" si="57"/>
        <v>0</v>
      </c>
      <c r="AB114" s="433">
        <f>VLOOKUP(Y114,Treatments!$C$7:$J$407,8)</f>
        <v>0</v>
      </c>
      <c r="AC114" s="495">
        <f t="shared" si="58"/>
        <v>0</v>
      </c>
      <c r="AD114" s="496">
        <f t="shared" si="58"/>
        <v>0</v>
      </c>
      <c r="AE114" s="433">
        <f t="shared" si="60"/>
        <v>0</v>
      </c>
      <c r="AF114" s="411">
        <f t="shared" si="48"/>
        <v>0</v>
      </c>
      <c r="AI114" s="447">
        <f t="shared" si="49"/>
        <v>0</v>
      </c>
      <c r="AJ114" s="491" t="str">
        <f>VLOOKUP(AI114,Treatments!$C$7:$J$407,2)</f>
        <v>No treatment</v>
      </c>
      <c r="AK114" s="495">
        <f t="shared" si="50"/>
        <v>0</v>
      </c>
      <c r="AL114" s="433">
        <f>VLOOKUP(AI114,Treatments!$C$7:$J$407,8)</f>
        <v>0</v>
      </c>
      <c r="AM114" s="495">
        <f t="shared" si="51"/>
        <v>0</v>
      </c>
      <c r="AN114" s="498"/>
      <c r="AO114" s="496">
        <f t="shared" si="52"/>
        <v>0</v>
      </c>
      <c r="AP114" s="433">
        <f t="shared" si="53"/>
        <v>0</v>
      </c>
      <c r="AQ114" s="411">
        <f t="shared" si="54"/>
        <v>0</v>
      </c>
      <c r="AR114" s="1"/>
    </row>
    <row r="115" spans="2:44" ht="15.75" x14ac:dyDescent="0.25">
      <c r="B115" s="305"/>
      <c r="C115" s="491" t="str">
        <f>IF(B115&lt;=0,"",VLOOKUP(B115,Treatments!$C$7:$J$407,2))</f>
        <v/>
      </c>
      <c r="D115" s="306"/>
      <c r="E115" s="433">
        <f>VLOOKUP(B115,Treatments!$C$7:$J$407,8)</f>
        <v>0</v>
      </c>
      <c r="F115" s="305"/>
      <c r="G115" s="308"/>
      <c r="H115" s="433">
        <f t="shared" si="59"/>
        <v>0</v>
      </c>
      <c r="I115" s="411">
        <f t="shared" si="55"/>
        <v>0</v>
      </c>
      <c r="L115" s="435"/>
      <c r="M115" s="491" t="str">
        <f>VLOOKUP(L115,Treatments!$C$7:$J$407,2)</f>
        <v>No treatment</v>
      </c>
      <c r="N115" s="492"/>
      <c r="O115" s="433">
        <f>VLOOKUP(L115,Treatments!$C$7:$J$407,8)</f>
        <v>0</v>
      </c>
      <c r="P115" s="435"/>
      <c r="Q115" s="498"/>
      <c r="R115" s="493"/>
      <c r="S115" s="433">
        <f t="shared" si="46"/>
        <v>0</v>
      </c>
      <c r="T115" s="411">
        <f t="shared" si="47"/>
        <v>0</v>
      </c>
      <c r="U115" s="1"/>
      <c r="Y115" s="447">
        <f t="shared" si="56"/>
        <v>0</v>
      </c>
      <c r="Z115" s="491" t="str">
        <f>VLOOKUP(Y115,Treatments!$C$7:$J$407,2)</f>
        <v>No treatment</v>
      </c>
      <c r="AA115" s="495">
        <f t="shared" si="57"/>
        <v>0</v>
      </c>
      <c r="AB115" s="433">
        <f>VLOOKUP(Y115,Treatments!$C$7:$J$407,8)</f>
        <v>0</v>
      </c>
      <c r="AC115" s="495">
        <f t="shared" si="58"/>
        <v>0</v>
      </c>
      <c r="AD115" s="496">
        <f t="shared" si="58"/>
        <v>0</v>
      </c>
      <c r="AE115" s="433">
        <f t="shared" si="60"/>
        <v>0</v>
      </c>
      <c r="AF115" s="411">
        <f t="shared" si="48"/>
        <v>0</v>
      </c>
      <c r="AI115" s="447">
        <f t="shared" si="49"/>
        <v>0</v>
      </c>
      <c r="AJ115" s="491" t="str">
        <f>VLOOKUP(AI115,Treatments!$C$7:$J$407,2)</f>
        <v>No treatment</v>
      </c>
      <c r="AK115" s="495">
        <f t="shared" si="50"/>
        <v>0</v>
      </c>
      <c r="AL115" s="433">
        <f>VLOOKUP(AI115,Treatments!$C$7:$J$407,8)</f>
        <v>0</v>
      </c>
      <c r="AM115" s="495">
        <f t="shared" si="51"/>
        <v>0</v>
      </c>
      <c r="AN115" s="498"/>
      <c r="AO115" s="496">
        <f t="shared" si="52"/>
        <v>0</v>
      </c>
      <c r="AP115" s="433">
        <f t="shared" si="53"/>
        <v>0</v>
      </c>
      <c r="AQ115" s="411">
        <f t="shared" si="54"/>
        <v>0</v>
      </c>
      <c r="AR115" s="1"/>
    </row>
    <row r="116" spans="2:44" ht="15.75" x14ac:dyDescent="0.25">
      <c r="B116" s="305"/>
      <c r="C116" s="491" t="str">
        <f>IF(B116&lt;=0,"",VLOOKUP(B116,Treatments!$C$7:$J$407,2))</f>
        <v/>
      </c>
      <c r="D116" s="306"/>
      <c r="E116" s="433">
        <f>VLOOKUP(B116,Treatments!$C$7:$J$407,8)</f>
        <v>0</v>
      </c>
      <c r="F116" s="305"/>
      <c r="G116" s="308"/>
      <c r="H116" s="433">
        <f t="shared" si="59"/>
        <v>0</v>
      </c>
      <c r="I116" s="411">
        <f t="shared" si="55"/>
        <v>0</v>
      </c>
      <c r="U116" s="1"/>
      <c r="Y116" s="447">
        <f t="shared" si="56"/>
        <v>0</v>
      </c>
      <c r="Z116" s="491" t="str">
        <f>VLOOKUP(Y116,Treatments!$C$7:$J$407,2)</f>
        <v>No treatment</v>
      </c>
      <c r="AA116" s="495">
        <f t="shared" si="57"/>
        <v>0</v>
      </c>
      <c r="AB116" s="433">
        <f>VLOOKUP(Y116,Treatments!$C$7:$J$407,8)</f>
        <v>0</v>
      </c>
      <c r="AC116" s="495">
        <f t="shared" si="58"/>
        <v>0</v>
      </c>
      <c r="AD116" s="496">
        <f t="shared" si="58"/>
        <v>0</v>
      </c>
      <c r="AE116" s="433">
        <f t="shared" si="60"/>
        <v>0</v>
      </c>
      <c r="AF116" s="411">
        <f t="shared" si="48"/>
        <v>0</v>
      </c>
      <c r="AR116" s="1"/>
    </row>
    <row r="117" spans="2:44" ht="15.75" x14ac:dyDescent="0.25">
      <c r="B117" s="305"/>
      <c r="C117" s="491" t="str">
        <f>IF(B117&lt;=0,"",VLOOKUP(B117,Treatments!$C$7:$J$407,2))</f>
        <v/>
      </c>
      <c r="D117" s="306"/>
      <c r="E117" s="433">
        <f>VLOOKUP(B117,Treatments!$C$7:$J$407,8)</f>
        <v>0</v>
      </c>
      <c r="F117" s="305"/>
      <c r="G117" s="308"/>
      <c r="H117" s="433">
        <f t="shared" si="59"/>
        <v>0</v>
      </c>
      <c r="I117" s="411">
        <f t="shared" si="55"/>
        <v>0</v>
      </c>
      <c r="L117" s="482" t="s">
        <v>994</v>
      </c>
      <c r="M117" s="483" t="s">
        <v>580</v>
      </c>
      <c r="N117" s="484" t="s">
        <v>616</v>
      </c>
      <c r="O117" s="482" t="s">
        <v>619</v>
      </c>
      <c r="P117" s="485" t="s">
        <v>617</v>
      </c>
      <c r="Q117" s="482"/>
      <c r="R117" s="485" t="s">
        <v>618</v>
      </c>
      <c r="S117" s="487"/>
      <c r="T117" s="487"/>
      <c r="U117" s="1"/>
      <c r="Y117" s="447">
        <f t="shared" si="56"/>
        <v>0</v>
      </c>
      <c r="Z117" s="491" t="str">
        <f>VLOOKUP(Y117,Treatments!$C$7:$J$407,2)</f>
        <v>No treatment</v>
      </c>
      <c r="AA117" s="495">
        <f t="shared" si="57"/>
        <v>0</v>
      </c>
      <c r="AB117" s="433">
        <f>VLOOKUP(Y117,Treatments!$C$7:$J$407,8)</f>
        <v>0</v>
      </c>
      <c r="AC117" s="495">
        <f t="shared" si="58"/>
        <v>0</v>
      </c>
      <c r="AD117" s="496">
        <f t="shared" si="58"/>
        <v>0</v>
      </c>
      <c r="AE117" s="433">
        <f t="shared" si="60"/>
        <v>0</v>
      </c>
      <c r="AF117" s="411">
        <f t="shared" si="48"/>
        <v>0</v>
      </c>
      <c r="AI117" s="499" t="s">
        <v>994</v>
      </c>
      <c r="AJ117" s="5" t="s">
        <v>580</v>
      </c>
      <c r="AK117" s="14" t="s">
        <v>616</v>
      </c>
      <c r="AL117" s="6" t="s">
        <v>619</v>
      </c>
      <c r="AM117" s="1" t="s">
        <v>617</v>
      </c>
      <c r="AN117" s="6"/>
      <c r="AO117" s="1" t="s">
        <v>618</v>
      </c>
      <c r="AP117" s="500"/>
      <c r="AQ117" s="62"/>
      <c r="AR117" s="1"/>
    </row>
    <row r="118" spans="2:44" ht="15.75" x14ac:dyDescent="0.25">
      <c r="B118" s="305"/>
      <c r="C118" s="491" t="str">
        <f>IF(B118&lt;=0,"",VLOOKUP(B118,Treatments!$C$7:$J$407,2))</f>
        <v/>
      </c>
      <c r="D118" s="306"/>
      <c r="E118" s="433">
        <f>VLOOKUP(B118,Treatments!$C$7:$J$407,8)</f>
        <v>0</v>
      </c>
      <c r="F118" s="435"/>
      <c r="G118" s="493"/>
      <c r="H118" s="433">
        <f t="shared" si="59"/>
        <v>0</v>
      </c>
      <c r="I118" s="411">
        <f t="shared" si="55"/>
        <v>0</v>
      </c>
      <c r="L118" s="305"/>
      <c r="M118" s="491" t="str">
        <f>VLOOKUP(L118,Treatments!$C$7:$J$407,2)</f>
        <v>No treatment</v>
      </c>
      <c r="N118" s="306"/>
      <c r="O118" s="433">
        <f>VLOOKUP(L118,Treatments!$C$7:$J$407,8)</f>
        <v>0</v>
      </c>
      <c r="P118" s="305"/>
      <c r="Q118" s="494"/>
      <c r="R118" s="308"/>
      <c r="S118" s="433">
        <f>N118*O118*P118*R118</f>
        <v>0</v>
      </c>
      <c r="T118" s="411">
        <f>S118*$D$9</f>
        <v>0</v>
      </c>
      <c r="U118" s="1"/>
      <c r="Y118" s="447">
        <f t="shared" si="56"/>
        <v>0</v>
      </c>
      <c r="Z118" s="491" t="str">
        <f>VLOOKUP(Y118,Treatments!$C$7:$J$407,2)</f>
        <v>No treatment</v>
      </c>
      <c r="AA118" s="495">
        <f t="shared" si="57"/>
        <v>0</v>
      </c>
      <c r="AB118" s="433">
        <f>VLOOKUP(Y118,Treatments!$C$7:$J$407,8)</f>
        <v>0</v>
      </c>
      <c r="AC118" s="495">
        <f t="shared" si="58"/>
        <v>0</v>
      </c>
      <c r="AD118" s="496">
        <f t="shared" si="58"/>
        <v>0</v>
      </c>
      <c r="AE118" s="433">
        <f t="shared" si="60"/>
        <v>0</v>
      </c>
      <c r="AF118" s="411">
        <f t="shared" si="48"/>
        <v>0</v>
      </c>
      <c r="AI118" s="447">
        <f t="shared" ref="AI118:AI129" si="61">IF(AND(L118&gt;=344,L118&lt;=358),L118+15,L118)</f>
        <v>0</v>
      </c>
      <c r="AJ118" s="491" t="str">
        <f>VLOOKUP(AI118,Treatments!$C$7:$J$407,2)</f>
        <v>No treatment</v>
      </c>
      <c r="AK118" s="495">
        <f t="shared" ref="AK118:AK129" si="62">N118</f>
        <v>0</v>
      </c>
      <c r="AL118" s="433">
        <f>VLOOKUP(AI118,Treatments!$C$7:$J$407,8)</f>
        <v>0</v>
      </c>
      <c r="AM118" s="495">
        <f t="shared" ref="AM118:AM129" si="63">P118</f>
        <v>0</v>
      </c>
      <c r="AN118" s="494"/>
      <c r="AO118" s="496">
        <f t="shared" ref="AO118:AO129" si="64">R118</f>
        <v>0</v>
      </c>
      <c r="AP118" s="433">
        <f>AK118*AL118*AM118*AO118</f>
        <v>0</v>
      </c>
      <c r="AQ118" s="411">
        <f t="shared" ref="AQ118:AQ129" si="65">AP118*$D$9</f>
        <v>0</v>
      </c>
      <c r="AR118" s="1"/>
    </row>
    <row r="119" spans="2:44" ht="15.75" x14ac:dyDescent="0.25">
      <c r="B119" s="435"/>
      <c r="C119" s="491" t="str">
        <f>IF(B119&lt;=0,"",VLOOKUP(B119,Treatments!$C$7:$J$407,2))</f>
        <v/>
      </c>
      <c r="D119" s="492"/>
      <c r="E119" s="433">
        <f>VLOOKUP(B119,Treatments!$C$7:$J$407,8)</f>
        <v>0</v>
      </c>
      <c r="F119" s="435"/>
      <c r="G119" s="493"/>
      <c r="H119" s="433">
        <f t="shared" si="59"/>
        <v>0</v>
      </c>
      <c r="I119" s="411">
        <f t="shared" si="55"/>
        <v>0</v>
      </c>
      <c r="L119" s="305"/>
      <c r="M119" s="491" t="str">
        <f>VLOOKUP(L119,Treatments!$C$7:$J$407,2)</f>
        <v>No treatment</v>
      </c>
      <c r="N119" s="306"/>
      <c r="O119" s="433">
        <f>VLOOKUP(L119,Treatments!$C$7:$J$407,8)</f>
        <v>0</v>
      </c>
      <c r="P119" s="305"/>
      <c r="Q119" s="160"/>
      <c r="R119" s="308"/>
      <c r="S119" s="433">
        <f t="shared" ref="S119:S129" si="66">N119*O119*P119*R119</f>
        <v>0</v>
      </c>
      <c r="T119" s="411">
        <f t="shared" ref="T119:T129" si="67">S119*$D$9</f>
        <v>0</v>
      </c>
      <c r="U119" s="1"/>
      <c r="Y119" s="447">
        <f t="shared" si="56"/>
        <v>0</v>
      </c>
      <c r="Z119" s="491" t="str">
        <f>VLOOKUP(Y119,Treatments!$C$7:$J$407,2)</f>
        <v>No treatment</v>
      </c>
      <c r="AA119" s="495">
        <f t="shared" si="57"/>
        <v>0</v>
      </c>
      <c r="AB119" s="433">
        <f>VLOOKUP(Y119,Treatments!$C$7:$J$407,8)</f>
        <v>0</v>
      </c>
      <c r="AC119" s="495">
        <f t="shared" si="58"/>
        <v>0</v>
      </c>
      <c r="AD119" s="496">
        <f t="shared" si="58"/>
        <v>0</v>
      </c>
      <c r="AE119" s="433">
        <f t="shared" si="60"/>
        <v>0</v>
      </c>
      <c r="AF119" s="411">
        <f t="shared" si="48"/>
        <v>0</v>
      </c>
      <c r="AI119" s="447">
        <f t="shared" si="61"/>
        <v>0</v>
      </c>
      <c r="AJ119" s="491" t="str">
        <f>VLOOKUP(AI119,Treatments!$C$7:$J$407,2)</f>
        <v>No treatment</v>
      </c>
      <c r="AK119" s="495">
        <f t="shared" si="62"/>
        <v>0</v>
      </c>
      <c r="AL119" s="433">
        <f>VLOOKUP(AI119,Treatments!$C$7:$J$407,8)</f>
        <v>0</v>
      </c>
      <c r="AM119" s="495">
        <f t="shared" si="63"/>
        <v>0</v>
      </c>
      <c r="AN119" s="160"/>
      <c r="AO119" s="496">
        <f t="shared" si="64"/>
        <v>0</v>
      </c>
      <c r="AP119" s="433">
        <f t="shared" ref="AP119:AP129" si="68">AK119*AL119*AM119*AO119</f>
        <v>0</v>
      </c>
      <c r="AQ119" s="411">
        <f t="shared" si="65"/>
        <v>0</v>
      </c>
      <c r="AR119" s="1"/>
    </row>
    <row r="120" spans="2:44" ht="15.75" x14ac:dyDescent="0.25">
      <c r="B120" s="435"/>
      <c r="C120" s="491" t="str">
        <f>IF(B120&lt;=0,"",VLOOKUP(B120,Treatments!$C$7:$J$407,2))</f>
        <v/>
      </c>
      <c r="D120" s="492"/>
      <c r="E120" s="433">
        <f>VLOOKUP(B120,Treatments!$C$7:$J$407,8)</f>
        <v>0</v>
      </c>
      <c r="F120" s="435"/>
      <c r="G120" s="493"/>
      <c r="H120" s="433">
        <f t="shared" si="59"/>
        <v>0</v>
      </c>
      <c r="I120" s="411">
        <f t="shared" si="55"/>
        <v>0</v>
      </c>
      <c r="L120" s="305"/>
      <c r="M120" s="491" t="str">
        <f>VLOOKUP(L120,Treatments!$C$7:$J$407,2)</f>
        <v>No treatment</v>
      </c>
      <c r="N120" s="306"/>
      <c r="O120" s="433">
        <f>VLOOKUP(L120,Treatments!$C$7:$J$407,8)</f>
        <v>0</v>
      </c>
      <c r="P120" s="305"/>
      <c r="Q120" s="160"/>
      <c r="R120" s="308"/>
      <c r="S120" s="433">
        <f t="shared" si="66"/>
        <v>0</v>
      </c>
      <c r="T120" s="411">
        <f t="shared" si="67"/>
        <v>0</v>
      </c>
      <c r="U120" s="1"/>
      <c r="Y120" s="447">
        <f t="shared" si="56"/>
        <v>0</v>
      </c>
      <c r="Z120" s="491" t="str">
        <f>VLOOKUP(Y120,Treatments!$C$7:$J$407,2)</f>
        <v>No treatment</v>
      </c>
      <c r="AA120" s="495">
        <f t="shared" si="57"/>
        <v>0</v>
      </c>
      <c r="AB120" s="433">
        <f>VLOOKUP(Y120,Treatments!$C$7:$J$407,8)</f>
        <v>0</v>
      </c>
      <c r="AC120" s="495">
        <f t="shared" si="58"/>
        <v>0</v>
      </c>
      <c r="AD120" s="496">
        <f t="shared" si="58"/>
        <v>0</v>
      </c>
      <c r="AE120" s="433">
        <f t="shared" si="60"/>
        <v>0</v>
      </c>
      <c r="AF120" s="411">
        <f t="shared" si="48"/>
        <v>0</v>
      </c>
      <c r="AI120" s="447">
        <f t="shared" si="61"/>
        <v>0</v>
      </c>
      <c r="AJ120" s="491" t="str">
        <f>VLOOKUP(AI120,Treatments!$C$7:$J$407,2)</f>
        <v>No treatment</v>
      </c>
      <c r="AK120" s="495">
        <f t="shared" si="62"/>
        <v>0</v>
      </c>
      <c r="AL120" s="433">
        <f>VLOOKUP(AI120,Treatments!$C$7:$J$407,8)</f>
        <v>0</v>
      </c>
      <c r="AM120" s="495">
        <f t="shared" si="63"/>
        <v>0</v>
      </c>
      <c r="AN120" s="160"/>
      <c r="AO120" s="496">
        <f t="shared" si="64"/>
        <v>0</v>
      </c>
      <c r="AP120" s="433">
        <f t="shared" si="68"/>
        <v>0</v>
      </c>
      <c r="AQ120" s="411">
        <f t="shared" si="65"/>
        <v>0</v>
      </c>
      <c r="AR120" s="1"/>
    </row>
    <row r="121" spans="2:44" ht="15.75" x14ac:dyDescent="0.25">
      <c r="B121" s="435"/>
      <c r="C121" s="491" t="str">
        <f>IF(B121&lt;=0,"",VLOOKUP(B121,Treatments!$C$7:$J$407,2))</f>
        <v/>
      </c>
      <c r="D121" s="492"/>
      <c r="E121" s="433">
        <f>VLOOKUP(B121,Treatments!$C$7:$J$407,8)</f>
        <v>0</v>
      </c>
      <c r="F121" s="435"/>
      <c r="G121" s="493"/>
      <c r="H121" s="433">
        <f t="shared" si="59"/>
        <v>0</v>
      </c>
      <c r="I121" s="411">
        <f t="shared" si="55"/>
        <v>0</v>
      </c>
      <c r="L121" s="305"/>
      <c r="M121" s="491" t="str">
        <f>VLOOKUP(L121,Treatments!$C$7:$J$407,2)</f>
        <v>No treatment</v>
      </c>
      <c r="N121" s="306"/>
      <c r="O121" s="433">
        <f>VLOOKUP(L121,Treatments!$C$7:$J$407,8)</f>
        <v>0</v>
      </c>
      <c r="P121" s="305"/>
      <c r="Q121" s="160"/>
      <c r="R121" s="308"/>
      <c r="S121" s="433">
        <f t="shared" si="66"/>
        <v>0</v>
      </c>
      <c r="T121" s="411">
        <f t="shared" si="67"/>
        <v>0</v>
      </c>
      <c r="U121" s="1"/>
      <c r="Y121" s="447">
        <f t="shared" si="56"/>
        <v>0</v>
      </c>
      <c r="Z121" s="491" t="str">
        <f>VLOOKUP(Y121,Treatments!$C$7:$J$407,2)</f>
        <v>No treatment</v>
      </c>
      <c r="AA121" s="495">
        <f t="shared" si="57"/>
        <v>0</v>
      </c>
      <c r="AB121" s="433">
        <f>VLOOKUP(Y121,Treatments!$C$7:$J$407,8)</f>
        <v>0</v>
      </c>
      <c r="AC121" s="495">
        <f t="shared" si="58"/>
        <v>0</v>
      </c>
      <c r="AD121" s="496">
        <f t="shared" si="58"/>
        <v>0</v>
      </c>
      <c r="AE121" s="433">
        <f t="shared" si="60"/>
        <v>0</v>
      </c>
      <c r="AF121" s="411">
        <f t="shared" si="48"/>
        <v>0</v>
      </c>
      <c r="AI121" s="447">
        <f t="shared" si="61"/>
        <v>0</v>
      </c>
      <c r="AJ121" s="491" t="str">
        <f>VLOOKUP(AI121,Treatments!$C$7:$J$407,2)</f>
        <v>No treatment</v>
      </c>
      <c r="AK121" s="495">
        <f t="shared" si="62"/>
        <v>0</v>
      </c>
      <c r="AL121" s="433">
        <f>VLOOKUP(AI121,Treatments!$C$7:$J$407,8)</f>
        <v>0</v>
      </c>
      <c r="AM121" s="495">
        <f t="shared" si="63"/>
        <v>0</v>
      </c>
      <c r="AN121" s="160"/>
      <c r="AO121" s="496">
        <f t="shared" si="64"/>
        <v>0</v>
      </c>
      <c r="AP121" s="433">
        <f t="shared" si="68"/>
        <v>0</v>
      </c>
      <c r="AQ121" s="411">
        <f t="shared" si="65"/>
        <v>0</v>
      </c>
      <c r="AR121" s="1"/>
    </row>
    <row r="122" spans="2:44" ht="15.75" x14ac:dyDescent="0.25">
      <c r="B122" s="435"/>
      <c r="C122" s="491" t="str">
        <f>IF(B122&lt;=0,"",VLOOKUP(B122,Treatments!$C$7:$J$407,2))</f>
        <v/>
      </c>
      <c r="D122" s="492"/>
      <c r="E122" s="433">
        <f>VLOOKUP(B122,Treatments!$C$7:$J$407,8)</f>
        <v>0</v>
      </c>
      <c r="F122" s="435"/>
      <c r="G122" s="493"/>
      <c r="H122" s="433">
        <f t="shared" si="59"/>
        <v>0</v>
      </c>
      <c r="I122" s="411">
        <f t="shared" si="55"/>
        <v>0</v>
      </c>
      <c r="L122" s="305"/>
      <c r="M122" s="491" t="str">
        <f>VLOOKUP(L122,Treatments!$C$7:$J$407,2)</f>
        <v>No treatment</v>
      </c>
      <c r="N122" s="306"/>
      <c r="O122" s="433">
        <f>VLOOKUP(L122,Treatments!$C$7:$J$407,8)</f>
        <v>0</v>
      </c>
      <c r="P122" s="305"/>
      <c r="Q122" s="160"/>
      <c r="R122" s="308"/>
      <c r="S122" s="433">
        <f t="shared" si="66"/>
        <v>0</v>
      </c>
      <c r="T122" s="411">
        <f t="shared" si="67"/>
        <v>0</v>
      </c>
      <c r="U122" s="1"/>
      <c r="Y122" s="447">
        <f t="shared" si="56"/>
        <v>0</v>
      </c>
      <c r="Z122" s="491" t="str">
        <f>VLOOKUP(Y122,Treatments!$C$7:$J$407,2)</f>
        <v>No treatment</v>
      </c>
      <c r="AA122" s="495">
        <f t="shared" si="57"/>
        <v>0</v>
      </c>
      <c r="AB122" s="433">
        <f>VLOOKUP(Y122,Treatments!$C$7:$J$407,8)</f>
        <v>0</v>
      </c>
      <c r="AC122" s="495">
        <f t="shared" si="58"/>
        <v>0</v>
      </c>
      <c r="AD122" s="496">
        <f t="shared" si="58"/>
        <v>0</v>
      </c>
      <c r="AE122" s="433">
        <f t="shared" si="60"/>
        <v>0</v>
      </c>
      <c r="AF122" s="411">
        <f t="shared" si="48"/>
        <v>0</v>
      </c>
      <c r="AI122" s="447">
        <f t="shared" si="61"/>
        <v>0</v>
      </c>
      <c r="AJ122" s="491" t="str">
        <f>VLOOKUP(AI122,Treatments!$C$7:$J$407,2)</f>
        <v>No treatment</v>
      </c>
      <c r="AK122" s="495">
        <f t="shared" si="62"/>
        <v>0</v>
      </c>
      <c r="AL122" s="433">
        <f>VLOOKUP(AI122,Treatments!$C$7:$J$407,8)</f>
        <v>0</v>
      </c>
      <c r="AM122" s="495">
        <f t="shared" si="63"/>
        <v>0</v>
      </c>
      <c r="AN122" s="160"/>
      <c r="AO122" s="496">
        <f t="shared" si="64"/>
        <v>0</v>
      </c>
      <c r="AP122" s="433">
        <f t="shared" si="68"/>
        <v>0</v>
      </c>
      <c r="AQ122" s="411">
        <f t="shared" si="65"/>
        <v>0</v>
      </c>
      <c r="AR122" s="1"/>
    </row>
    <row r="123" spans="2:44" ht="15.75" x14ac:dyDescent="0.25">
      <c r="B123" s="435"/>
      <c r="C123" s="491" t="str">
        <f>IF(B123&lt;=0,"",VLOOKUP(B123,Treatments!$C$7:$J$407,2))</f>
        <v/>
      </c>
      <c r="D123" s="492"/>
      <c r="E123" s="433">
        <f>VLOOKUP(B123,Treatments!$C$7:$J$407,8)</f>
        <v>0</v>
      </c>
      <c r="F123" s="435"/>
      <c r="G123" s="493"/>
      <c r="H123" s="433">
        <f>D123*E123*F123*G123</f>
        <v>0</v>
      </c>
      <c r="I123" s="411">
        <f t="shared" si="55"/>
        <v>0</v>
      </c>
      <c r="L123" s="305"/>
      <c r="M123" s="491" t="str">
        <f>VLOOKUP(L123,Treatments!$C$7:$J$407,2)</f>
        <v>No treatment</v>
      </c>
      <c r="N123" s="306"/>
      <c r="O123" s="433">
        <f>VLOOKUP(L123,Treatments!$C$7:$J$407,8)</f>
        <v>0</v>
      </c>
      <c r="P123" s="305"/>
      <c r="Q123" s="160"/>
      <c r="R123" s="308"/>
      <c r="S123" s="433">
        <f t="shared" si="66"/>
        <v>0</v>
      </c>
      <c r="T123" s="411">
        <f t="shared" si="67"/>
        <v>0</v>
      </c>
      <c r="U123" s="1"/>
      <c r="Y123" s="447">
        <f t="shared" si="56"/>
        <v>0</v>
      </c>
      <c r="Z123" s="491" t="str">
        <f>VLOOKUP(Y123,Treatments!$C$7:$J$407,2)</f>
        <v>No treatment</v>
      </c>
      <c r="AA123" s="495">
        <f t="shared" si="57"/>
        <v>0</v>
      </c>
      <c r="AB123" s="433">
        <f>VLOOKUP(Y123,Treatments!$C$7:$J$407,8)</f>
        <v>0</v>
      </c>
      <c r="AC123" s="495">
        <f t="shared" si="58"/>
        <v>0</v>
      </c>
      <c r="AD123" s="496">
        <f t="shared" si="58"/>
        <v>0</v>
      </c>
      <c r="AE123" s="433">
        <f>AA123*AB123*AC123*AD123</f>
        <v>0</v>
      </c>
      <c r="AF123" s="411">
        <f t="shared" si="48"/>
        <v>0</v>
      </c>
      <c r="AI123" s="447">
        <f t="shared" si="61"/>
        <v>0</v>
      </c>
      <c r="AJ123" s="491" t="str">
        <f>VLOOKUP(AI123,Treatments!$C$7:$J$407,2)</f>
        <v>No treatment</v>
      </c>
      <c r="AK123" s="495">
        <f t="shared" si="62"/>
        <v>0</v>
      </c>
      <c r="AL123" s="433">
        <f>VLOOKUP(AI123,Treatments!$C$7:$J$407,8)</f>
        <v>0</v>
      </c>
      <c r="AM123" s="495">
        <f t="shared" si="63"/>
        <v>0</v>
      </c>
      <c r="AN123" s="160"/>
      <c r="AO123" s="496">
        <f t="shared" si="64"/>
        <v>0</v>
      </c>
      <c r="AP123" s="433">
        <f t="shared" si="68"/>
        <v>0</v>
      </c>
      <c r="AQ123" s="411">
        <f t="shared" si="65"/>
        <v>0</v>
      </c>
      <c r="AR123" s="1"/>
    </row>
    <row r="124" spans="2:44" ht="15.75" x14ac:dyDescent="0.25">
      <c r="B124" s="435"/>
      <c r="C124" s="491" t="str">
        <f>IF(B124&lt;=0,"",VLOOKUP(B124,Treatments!$C$7:$J$407,2))</f>
        <v/>
      </c>
      <c r="D124" s="492"/>
      <c r="E124" s="433">
        <f>VLOOKUP(B124,Treatments!$C$7:$J$407,8)</f>
        <v>0</v>
      </c>
      <c r="F124" s="435"/>
      <c r="G124" s="493"/>
      <c r="H124" s="433">
        <f>D124*E124*F124*G124</f>
        <v>0</v>
      </c>
      <c r="I124" s="411">
        <f t="shared" si="55"/>
        <v>0</v>
      </c>
      <c r="L124" s="305"/>
      <c r="M124" s="491" t="str">
        <f>VLOOKUP(L124,Treatments!$C$7:$J$407,2)</f>
        <v>No treatment</v>
      </c>
      <c r="N124" s="306"/>
      <c r="O124" s="433">
        <f>VLOOKUP(L124,Treatments!$C$7:$J$407,8)</f>
        <v>0</v>
      </c>
      <c r="P124" s="305"/>
      <c r="Q124" s="160"/>
      <c r="R124" s="308"/>
      <c r="S124" s="433">
        <f t="shared" si="66"/>
        <v>0</v>
      </c>
      <c r="T124" s="411">
        <f t="shared" si="67"/>
        <v>0</v>
      </c>
      <c r="U124" s="1"/>
      <c r="Y124" s="447">
        <f t="shared" si="56"/>
        <v>0</v>
      </c>
      <c r="Z124" s="491" t="str">
        <f>VLOOKUP(Y124,Treatments!$C$7:$J$407,2)</f>
        <v>No treatment</v>
      </c>
      <c r="AA124" s="495">
        <f t="shared" si="57"/>
        <v>0</v>
      </c>
      <c r="AB124" s="433">
        <f>VLOOKUP(Y124,Treatments!$C$7:$J$407,8)</f>
        <v>0</v>
      </c>
      <c r="AC124" s="495">
        <f t="shared" si="58"/>
        <v>0</v>
      </c>
      <c r="AD124" s="496">
        <f t="shared" si="58"/>
        <v>0</v>
      </c>
      <c r="AE124" s="433">
        <f>AA124*AB124*AC124*AD124</f>
        <v>0</v>
      </c>
      <c r="AF124" s="411">
        <f t="shared" si="48"/>
        <v>0</v>
      </c>
      <c r="AI124" s="447">
        <f t="shared" si="61"/>
        <v>0</v>
      </c>
      <c r="AJ124" s="491" t="str">
        <f>VLOOKUP(AI124,Treatments!$C$7:$J$407,2)</f>
        <v>No treatment</v>
      </c>
      <c r="AK124" s="495">
        <f t="shared" si="62"/>
        <v>0</v>
      </c>
      <c r="AL124" s="433">
        <f>VLOOKUP(AI124,Treatments!$C$7:$J$407,8)</f>
        <v>0</v>
      </c>
      <c r="AM124" s="495">
        <f t="shared" si="63"/>
        <v>0</v>
      </c>
      <c r="AN124" s="160"/>
      <c r="AO124" s="496">
        <f t="shared" si="64"/>
        <v>0</v>
      </c>
      <c r="AP124" s="433">
        <f t="shared" si="68"/>
        <v>0</v>
      </c>
      <c r="AQ124" s="411">
        <f t="shared" si="65"/>
        <v>0</v>
      </c>
      <c r="AR124" s="1"/>
    </row>
    <row r="125" spans="2:44" ht="15.75" x14ac:dyDescent="0.25">
      <c r="B125" s="1"/>
      <c r="C125" s="1"/>
      <c r="D125" s="1"/>
      <c r="E125" s="1"/>
      <c r="F125" s="1"/>
      <c r="G125" s="6"/>
      <c r="H125" s="1"/>
      <c r="I125" s="1"/>
      <c r="L125" s="305"/>
      <c r="M125" s="491" t="str">
        <f>VLOOKUP(L125,Treatments!$C$7:$J$407,2)</f>
        <v>No treatment</v>
      </c>
      <c r="N125" s="306"/>
      <c r="O125" s="433">
        <f>VLOOKUP(L125,Treatments!$C$7:$J$407,8)</f>
        <v>0</v>
      </c>
      <c r="P125" s="305"/>
      <c r="Q125" s="160"/>
      <c r="R125" s="308"/>
      <c r="S125" s="433">
        <f t="shared" si="66"/>
        <v>0</v>
      </c>
      <c r="T125" s="411">
        <f t="shared" si="67"/>
        <v>0</v>
      </c>
      <c r="U125" s="1"/>
      <c r="Y125" s="1"/>
      <c r="Z125" s="1"/>
      <c r="AA125" s="6"/>
      <c r="AB125" s="6"/>
      <c r="AC125" s="6"/>
      <c r="AD125" s="6"/>
      <c r="AE125" s="6"/>
      <c r="AF125" s="6"/>
      <c r="AI125" s="447">
        <f t="shared" si="61"/>
        <v>0</v>
      </c>
      <c r="AJ125" s="491" t="str">
        <f>VLOOKUP(AI125,Treatments!$C$7:$J$407,2)</f>
        <v>No treatment</v>
      </c>
      <c r="AK125" s="495">
        <f t="shared" si="62"/>
        <v>0</v>
      </c>
      <c r="AL125" s="433">
        <f>VLOOKUP(AI125,Treatments!$C$7:$J$407,8)</f>
        <v>0</v>
      </c>
      <c r="AM125" s="495">
        <f t="shared" si="63"/>
        <v>0</v>
      </c>
      <c r="AN125" s="160"/>
      <c r="AO125" s="496">
        <f t="shared" si="64"/>
        <v>0</v>
      </c>
      <c r="AP125" s="433">
        <f t="shared" si="68"/>
        <v>0</v>
      </c>
      <c r="AQ125" s="411">
        <f t="shared" si="65"/>
        <v>0</v>
      </c>
      <c r="AR125" s="1"/>
    </row>
    <row r="126" spans="2:44" ht="15.75" x14ac:dyDescent="0.25">
      <c r="B126" s="501" t="s">
        <v>994</v>
      </c>
      <c r="C126" s="502" t="s">
        <v>580</v>
      </c>
      <c r="D126" s="503" t="s">
        <v>616</v>
      </c>
      <c r="E126" s="501" t="s">
        <v>619</v>
      </c>
      <c r="F126" s="504" t="s">
        <v>617</v>
      </c>
      <c r="G126" s="504" t="s">
        <v>618</v>
      </c>
      <c r="H126" s="505"/>
      <c r="I126" s="506"/>
      <c r="L126" s="305"/>
      <c r="M126" s="491" t="str">
        <f>VLOOKUP(L126,Treatments!$C$7:$J$407,2)</f>
        <v>No treatment</v>
      </c>
      <c r="N126" s="306"/>
      <c r="O126" s="433">
        <f>VLOOKUP(L126,Treatments!$C$7:$J$407,8)</f>
        <v>0</v>
      </c>
      <c r="P126" s="305"/>
      <c r="Q126" s="160"/>
      <c r="R126" s="308"/>
      <c r="S126" s="433">
        <f t="shared" si="66"/>
        <v>0</v>
      </c>
      <c r="T126" s="411">
        <f t="shared" si="67"/>
        <v>0</v>
      </c>
      <c r="U126" s="1"/>
      <c r="Y126" s="6" t="s">
        <v>994</v>
      </c>
      <c r="Z126" s="5" t="s">
        <v>580</v>
      </c>
      <c r="AA126" s="6" t="s">
        <v>616</v>
      </c>
      <c r="AB126" s="6" t="s">
        <v>619</v>
      </c>
      <c r="AC126" s="6" t="s">
        <v>617</v>
      </c>
      <c r="AD126" s="6" t="s">
        <v>618</v>
      </c>
      <c r="AE126" s="507"/>
      <c r="AF126" s="508"/>
      <c r="AI126" s="447">
        <f t="shared" si="61"/>
        <v>0</v>
      </c>
      <c r="AJ126" s="491" t="str">
        <f>VLOOKUP(AI126,Treatments!$C$7:$J$407,2)</f>
        <v>No treatment</v>
      </c>
      <c r="AK126" s="495">
        <f t="shared" si="62"/>
        <v>0</v>
      </c>
      <c r="AL126" s="433">
        <f>VLOOKUP(AI126,Treatments!$C$7:$J$407,8)</f>
        <v>0</v>
      </c>
      <c r="AM126" s="495">
        <f t="shared" si="63"/>
        <v>0</v>
      </c>
      <c r="AN126" s="160"/>
      <c r="AO126" s="496">
        <f t="shared" si="64"/>
        <v>0</v>
      </c>
      <c r="AP126" s="433">
        <f t="shared" si="68"/>
        <v>0</v>
      </c>
      <c r="AQ126" s="411">
        <f t="shared" si="65"/>
        <v>0</v>
      </c>
      <c r="AR126" s="1"/>
    </row>
    <row r="127" spans="2:44" ht="15.75" x14ac:dyDescent="0.25">
      <c r="B127" s="435"/>
      <c r="C127" s="491" t="str">
        <f>IF(B127&lt;=0,"",VLOOKUP(B127,Treatments!$C$7:$J$407,2))</f>
        <v/>
      </c>
      <c r="D127" s="492"/>
      <c r="E127" s="433">
        <f>VLOOKUP(B127,Treatments!$C$7:$J$407,8)</f>
        <v>0</v>
      </c>
      <c r="F127" s="435"/>
      <c r="G127" s="493"/>
      <c r="H127" s="433">
        <f t="shared" ref="H127:H138" si="69">D127*E127*F127*G127</f>
        <v>0</v>
      </c>
      <c r="I127" s="411">
        <f>H127*$D$9</f>
        <v>0</v>
      </c>
      <c r="L127" s="305"/>
      <c r="M127" s="491" t="str">
        <f>VLOOKUP(L127,Treatments!$C$7:$J$407,2)</f>
        <v>No treatment</v>
      </c>
      <c r="N127" s="306"/>
      <c r="O127" s="433">
        <f>VLOOKUP(L127,Treatments!$C$7:$J$407,8)</f>
        <v>0</v>
      </c>
      <c r="P127" s="305"/>
      <c r="Q127" s="160"/>
      <c r="R127" s="308"/>
      <c r="S127" s="433">
        <f t="shared" si="66"/>
        <v>0</v>
      </c>
      <c r="T127" s="411">
        <f t="shared" si="67"/>
        <v>0</v>
      </c>
      <c r="U127" s="1"/>
      <c r="Y127" s="447">
        <f>IF(AND(B127&gt;=344,B127&lt;=358),B127+15,B127)</f>
        <v>0</v>
      </c>
      <c r="Z127" s="491" t="str">
        <f>VLOOKUP(Y127,Treatments!$C$7:$J$407,2)</f>
        <v>No treatment</v>
      </c>
      <c r="AA127" s="495">
        <f t="shared" ref="AA127:AA138" si="70">D127</f>
        <v>0</v>
      </c>
      <c r="AB127" s="433">
        <f>VLOOKUP(Y127,Treatments!$C$7:$J$407,8)</f>
        <v>0</v>
      </c>
      <c r="AC127" s="495">
        <f t="shared" ref="AC127:AD138" si="71">F127</f>
        <v>0</v>
      </c>
      <c r="AD127" s="496">
        <f t="shared" si="71"/>
        <v>0</v>
      </c>
      <c r="AE127" s="433">
        <f t="shared" ref="AE127:AE138" si="72">AA127*AB127*AC127*AD127</f>
        <v>0</v>
      </c>
      <c r="AF127" s="411">
        <f t="shared" ref="AF127:AF138" si="73">AE127*$D$9</f>
        <v>0</v>
      </c>
      <c r="AI127" s="447">
        <f t="shared" si="61"/>
        <v>0</v>
      </c>
      <c r="AJ127" s="491" t="str">
        <f>VLOOKUP(AI127,Treatments!$C$7:$J$407,2)</f>
        <v>No treatment</v>
      </c>
      <c r="AK127" s="495">
        <f t="shared" si="62"/>
        <v>0</v>
      </c>
      <c r="AL127" s="433">
        <f>VLOOKUP(AI127,Treatments!$C$7:$J$407,8)</f>
        <v>0</v>
      </c>
      <c r="AM127" s="495">
        <f t="shared" si="63"/>
        <v>0</v>
      </c>
      <c r="AN127" s="160"/>
      <c r="AO127" s="496">
        <f t="shared" si="64"/>
        <v>0</v>
      </c>
      <c r="AP127" s="433">
        <f t="shared" si="68"/>
        <v>0</v>
      </c>
      <c r="AQ127" s="411">
        <f t="shared" si="65"/>
        <v>0</v>
      </c>
      <c r="AR127" s="1"/>
    </row>
    <row r="128" spans="2:44" x14ac:dyDescent="0.2">
      <c r="B128" s="435"/>
      <c r="C128" s="491" t="str">
        <f>IF(B128&lt;=0,"",VLOOKUP(B128,Treatments!$C$7:$J$407,2))</f>
        <v/>
      </c>
      <c r="D128" s="492"/>
      <c r="E128" s="433">
        <f>VLOOKUP(B128,Treatments!$C$7:$J$407,8)</f>
        <v>0</v>
      </c>
      <c r="F128" s="435"/>
      <c r="G128" s="493"/>
      <c r="H128" s="433">
        <f t="shared" si="69"/>
        <v>0</v>
      </c>
      <c r="I128" s="411">
        <f t="shared" ref="I128:I138" si="74">H128*$D$9</f>
        <v>0</v>
      </c>
      <c r="L128" s="435"/>
      <c r="M128" s="491" t="str">
        <f>VLOOKUP(L128,Treatments!$C$7:$J$407,2)</f>
        <v>No treatment</v>
      </c>
      <c r="N128" s="492"/>
      <c r="O128" s="433">
        <f>VLOOKUP(L128,Treatments!$C$7:$J$407,8)</f>
        <v>0</v>
      </c>
      <c r="P128" s="435"/>
      <c r="Q128" s="160"/>
      <c r="R128" s="493"/>
      <c r="S128" s="433">
        <f t="shared" si="66"/>
        <v>0</v>
      </c>
      <c r="T128" s="411">
        <f t="shared" si="67"/>
        <v>0</v>
      </c>
      <c r="U128" s="1"/>
      <c r="Y128" s="447">
        <f t="shared" ref="Y128:Y138" si="75">IF(AND(B128&gt;=344,B128&lt;=358),B128+15,B128)</f>
        <v>0</v>
      </c>
      <c r="Z128" s="491" t="str">
        <f>VLOOKUP(Y128,Treatments!$C$7:$J$407,2)</f>
        <v>No treatment</v>
      </c>
      <c r="AA128" s="495">
        <f t="shared" si="70"/>
        <v>0</v>
      </c>
      <c r="AB128" s="433">
        <f>VLOOKUP(Y128,Treatments!$C$7:$J$407,8)</f>
        <v>0</v>
      </c>
      <c r="AC128" s="495">
        <f t="shared" si="71"/>
        <v>0</v>
      </c>
      <c r="AD128" s="496">
        <f t="shared" si="71"/>
        <v>0</v>
      </c>
      <c r="AE128" s="433">
        <f t="shared" si="72"/>
        <v>0</v>
      </c>
      <c r="AF128" s="411">
        <f t="shared" si="73"/>
        <v>0</v>
      </c>
      <c r="AI128" s="447">
        <f t="shared" si="61"/>
        <v>0</v>
      </c>
      <c r="AJ128" s="491" t="str">
        <f>VLOOKUP(AI128,Treatments!$C$7:$J$407,2)</f>
        <v>No treatment</v>
      </c>
      <c r="AK128" s="495">
        <f t="shared" si="62"/>
        <v>0</v>
      </c>
      <c r="AL128" s="433">
        <f>VLOOKUP(AI128,Treatments!$C$7:$J$407,8)</f>
        <v>0</v>
      </c>
      <c r="AM128" s="495">
        <f t="shared" si="63"/>
        <v>0</v>
      </c>
      <c r="AN128" s="160"/>
      <c r="AO128" s="496">
        <f t="shared" si="64"/>
        <v>0</v>
      </c>
      <c r="AP128" s="433">
        <f t="shared" si="68"/>
        <v>0</v>
      </c>
      <c r="AQ128" s="411">
        <f t="shared" si="65"/>
        <v>0</v>
      </c>
      <c r="AR128" s="1"/>
    </row>
    <row r="129" spans="2:44" ht="15.75" x14ac:dyDescent="0.25">
      <c r="B129" s="305"/>
      <c r="C129" s="491" t="str">
        <f>IF(B129&lt;=0,"",VLOOKUP(B129,Treatments!$C$7:$J$407,2))</f>
        <v/>
      </c>
      <c r="D129" s="306"/>
      <c r="E129" s="433">
        <f>VLOOKUP(B129,Treatments!$C$7:$J$407,8)</f>
        <v>0</v>
      </c>
      <c r="F129" s="305"/>
      <c r="G129" s="493"/>
      <c r="H129" s="433">
        <f t="shared" si="69"/>
        <v>0</v>
      </c>
      <c r="I129" s="411">
        <f t="shared" si="74"/>
        <v>0</v>
      </c>
      <c r="L129" s="435"/>
      <c r="M129" s="491" t="str">
        <f>VLOOKUP(L129,Treatments!$C$7:$J$407,2)</f>
        <v>No treatment</v>
      </c>
      <c r="N129" s="492"/>
      <c r="O129" s="433">
        <f>VLOOKUP(L129,Treatments!$C$7:$J$407,8)</f>
        <v>0</v>
      </c>
      <c r="P129" s="435"/>
      <c r="Q129" s="498"/>
      <c r="R129" s="493"/>
      <c r="S129" s="433">
        <f t="shared" si="66"/>
        <v>0</v>
      </c>
      <c r="T129" s="411">
        <f t="shared" si="67"/>
        <v>0</v>
      </c>
      <c r="U129" s="1"/>
      <c r="Y129" s="447">
        <f t="shared" si="75"/>
        <v>0</v>
      </c>
      <c r="Z129" s="491" t="str">
        <f>VLOOKUP(Y129,Treatments!$C$7:$J$407,2)</f>
        <v>No treatment</v>
      </c>
      <c r="AA129" s="495">
        <f t="shared" si="70"/>
        <v>0</v>
      </c>
      <c r="AB129" s="433">
        <f>VLOOKUP(Y129,Treatments!$C$7:$J$407,8)</f>
        <v>0</v>
      </c>
      <c r="AC129" s="495">
        <f t="shared" si="71"/>
        <v>0</v>
      </c>
      <c r="AD129" s="496">
        <f t="shared" si="71"/>
        <v>0</v>
      </c>
      <c r="AE129" s="433">
        <f t="shared" si="72"/>
        <v>0</v>
      </c>
      <c r="AF129" s="411">
        <f t="shared" si="73"/>
        <v>0</v>
      </c>
      <c r="AI129" s="447">
        <f t="shared" si="61"/>
        <v>0</v>
      </c>
      <c r="AJ129" s="491" t="str">
        <f>VLOOKUP(AI129,Treatments!$C$7:$J$407,2)</f>
        <v>No treatment</v>
      </c>
      <c r="AK129" s="495">
        <f t="shared" si="62"/>
        <v>0</v>
      </c>
      <c r="AL129" s="433">
        <f>VLOOKUP(AI129,Treatments!$C$7:$J$407,8)</f>
        <v>0</v>
      </c>
      <c r="AM129" s="495">
        <f t="shared" si="63"/>
        <v>0</v>
      </c>
      <c r="AN129" s="498"/>
      <c r="AO129" s="496">
        <f t="shared" si="64"/>
        <v>0</v>
      </c>
      <c r="AP129" s="433">
        <f t="shared" si="68"/>
        <v>0</v>
      </c>
      <c r="AQ129" s="411">
        <f t="shared" si="65"/>
        <v>0</v>
      </c>
      <c r="AR129" s="1"/>
    </row>
    <row r="130" spans="2:44" ht="15.75" x14ac:dyDescent="0.25">
      <c r="B130" s="305"/>
      <c r="C130" s="491" t="str">
        <f>IF(B130&lt;=0,"",VLOOKUP(B130,Treatments!$C$7:$J$407,2))</f>
        <v/>
      </c>
      <c r="D130" s="306"/>
      <c r="E130" s="433">
        <f>VLOOKUP(B130,Treatments!$C$7:$J$407,8)</f>
        <v>0</v>
      </c>
      <c r="F130" s="305"/>
      <c r="G130" s="493"/>
      <c r="H130" s="433">
        <f t="shared" si="69"/>
        <v>0</v>
      </c>
      <c r="I130" s="411">
        <f t="shared" si="74"/>
        <v>0</v>
      </c>
      <c r="L130" s="1"/>
      <c r="M130" s="1"/>
      <c r="N130" s="1"/>
      <c r="O130" s="1"/>
      <c r="P130" s="1"/>
      <c r="Q130" s="1"/>
      <c r="R130" s="6"/>
      <c r="S130" s="1"/>
      <c r="T130" s="1"/>
      <c r="U130" s="1"/>
      <c r="Y130" s="447">
        <f t="shared" si="75"/>
        <v>0</v>
      </c>
      <c r="Z130" s="491" t="str">
        <f>VLOOKUP(Y130,Treatments!$C$7:$J$407,2)</f>
        <v>No treatment</v>
      </c>
      <c r="AA130" s="495">
        <f t="shared" si="70"/>
        <v>0</v>
      </c>
      <c r="AB130" s="433">
        <f>VLOOKUP(Y130,Treatments!$C$7:$J$407,8)</f>
        <v>0</v>
      </c>
      <c r="AC130" s="495">
        <f t="shared" si="71"/>
        <v>0</v>
      </c>
      <c r="AD130" s="496">
        <f t="shared" si="71"/>
        <v>0</v>
      </c>
      <c r="AE130" s="433">
        <f t="shared" si="72"/>
        <v>0</v>
      </c>
      <c r="AF130" s="411">
        <f t="shared" si="73"/>
        <v>0</v>
      </c>
      <c r="AI130" s="509"/>
      <c r="AJ130" s="1"/>
      <c r="AK130" s="1"/>
      <c r="AL130" s="1"/>
      <c r="AM130" s="1"/>
      <c r="AN130" s="1"/>
      <c r="AO130" s="6"/>
      <c r="AP130" s="1"/>
      <c r="AQ130" s="1"/>
      <c r="AR130" s="1"/>
    </row>
    <row r="131" spans="2:44" ht="15.75" x14ac:dyDescent="0.25">
      <c r="B131" s="305"/>
      <c r="C131" s="491" t="str">
        <f>IF(B131&lt;=0,"",VLOOKUP(B131,Treatments!$C$7:$J$407,2))</f>
        <v/>
      </c>
      <c r="D131" s="306"/>
      <c r="E131" s="433">
        <f>VLOOKUP(B131,Treatments!$C$7:$J$407,8)</f>
        <v>0</v>
      </c>
      <c r="F131" s="305"/>
      <c r="G131" s="493"/>
      <c r="H131" s="433">
        <f t="shared" si="69"/>
        <v>0</v>
      </c>
      <c r="I131" s="411">
        <f t="shared" si="74"/>
        <v>0</v>
      </c>
      <c r="L131" s="482" t="s">
        <v>994</v>
      </c>
      <c r="M131" s="483" t="s">
        <v>581</v>
      </c>
      <c r="N131" s="484" t="s">
        <v>616</v>
      </c>
      <c r="O131" s="482" t="s">
        <v>619</v>
      </c>
      <c r="P131" s="485" t="s">
        <v>617</v>
      </c>
      <c r="Q131" s="482"/>
      <c r="R131" s="485" t="s">
        <v>618</v>
      </c>
      <c r="S131" s="487"/>
      <c r="T131" s="487"/>
      <c r="U131" s="1"/>
      <c r="Y131" s="447">
        <f t="shared" si="75"/>
        <v>0</v>
      </c>
      <c r="Z131" s="491" t="str">
        <f>VLOOKUP(Y131,Treatments!$C$7:$J$407,2)</f>
        <v>No treatment</v>
      </c>
      <c r="AA131" s="495">
        <f t="shared" si="70"/>
        <v>0</v>
      </c>
      <c r="AB131" s="433">
        <f>VLOOKUP(Y131,Treatments!$C$7:$J$407,8)</f>
        <v>0</v>
      </c>
      <c r="AC131" s="495">
        <f t="shared" si="71"/>
        <v>0</v>
      </c>
      <c r="AD131" s="496">
        <f t="shared" si="71"/>
        <v>0</v>
      </c>
      <c r="AE131" s="433">
        <f t="shared" si="72"/>
        <v>0</v>
      </c>
      <c r="AF131" s="411">
        <f t="shared" si="73"/>
        <v>0</v>
      </c>
      <c r="AI131" s="499" t="s">
        <v>994</v>
      </c>
      <c r="AJ131" s="5" t="s">
        <v>581</v>
      </c>
      <c r="AK131" s="14" t="s">
        <v>616</v>
      </c>
      <c r="AL131" s="6" t="s">
        <v>619</v>
      </c>
      <c r="AM131" s="1" t="s">
        <v>617</v>
      </c>
      <c r="AN131" s="6"/>
      <c r="AO131" s="1" t="s">
        <v>618</v>
      </c>
      <c r="AP131" s="500"/>
      <c r="AQ131" s="62"/>
      <c r="AR131" s="1"/>
    </row>
    <row r="132" spans="2:44" ht="15.75" x14ac:dyDescent="0.25">
      <c r="B132" s="435"/>
      <c r="C132" s="491" t="str">
        <f>IF(B132&lt;=0,"",VLOOKUP(B132,Treatments!$C$7:$J$407,2))</f>
        <v/>
      </c>
      <c r="D132" s="492"/>
      <c r="E132" s="433">
        <f>VLOOKUP(B132,Treatments!$C$7:$J$407,8)</f>
        <v>0</v>
      </c>
      <c r="F132" s="435"/>
      <c r="G132" s="493"/>
      <c r="H132" s="433">
        <f t="shared" si="69"/>
        <v>0</v>
      </c>
      <c r="I132" s="411">
        <f t="shared" si="74"/>
        <v>0</v>
      </c>
      <c r="L132" s="305"/>
      <c r="M132" s="491" t="str">
        <f>VLOOKUP(L132,Treatments!$C$7:$J$407,2)</f>
        <v>No treatment</v>
      </c>
      <c r="N132" s="306"/>
      <c r="O132" s="433">
        <f>VLOOKUP(L132,Treatments!$C$7:$J$407,8)</f>
        <v>0</v>
      </c>
      <c r="P132" s="305"/>
      <c r="Q132" s="494"/>
      <c r="R132" s="308"/>
      <c r="S132" s="433">
        <f t="shared" ref="S132:S137" si="76">N132*O132*P132*R132</f>
        <v>0</v>
      </c>
      <c r="T132" s="411">
        <f t="shared" ref="T132:T138" si="77">S132*$D$9</f>
        <v>0</v>
      </c>
      <c r="U132" s="1"/>
      <c r="Y132" s="447">
        <f t="shared" si="75"/>
        <v>0</v>
      </c>
      <c r="Z132" s="491" t="str">
        <f>VLOOKUP(Y132,Treatments!$C$7:$J$407,2)</f>
        <v>No treatment</v>
      </c>
      <c r="AA132" s="495">
        <f t="shared" si="70"/>
        <v>0</v>
      </c>
      <c r="AB132" s="433">
        <f>VLOOKUP(Y132,Treatments!$C$7:$J$407,8)</f>
        <v>0</v>
      </c>
      <c r="AC132" s="495">
        <f t="shared" si="71"/>
        <v>0</v>
      </c>
      <c r="AD132" s="496">
        <f t="shared" si="71"/>
        <v>0</v>
      </c>
      <c r="AE132" s="433">
        <f t="shared" si="72"/>
        <v>0</v>
      </c>
      <c r="AF132" s="411">
        <f t="shared" si="73"/>
        <v>0</v>
      </c>
      <c r="AI132" s="447">
        <f t="shared" ref="AI132:AI137" si="78">IF(AND(L132&gt;=344,L132&lt;=358),L132+15,L132)</f>
        <v>0</v>
      </c>
      <c r="AJ132" s="491" t="str">
        <f>VLOOKUP(AI132,Treatments!$C$7:$J$407,2)</f>
        <v>No treatment</v>
      </c>
      <c r="AK132" s="495">
        <f t="shared" ref="AK132:AK137" si="79">N132</f>
        <v>0</v>
      </c>
      <c r="AL132" s="433">
        <f>VLOOKUP(AI132,Treatments!$C$7:$J$407,8)</f>
        <v>0</v>
      </c>
      <c r="AM132" s="495">
        <f t="shared" ref="AM132:AM137" si="80">P132</f>
        <v>0</v>
      </c>
      <c r="AN132" s="494"/>
      <c r="AO132" s="496">
        <f t="shared" ref="AO132:AO137" si="81">R132</f>
        <v>0</v>
      </c>
      <c r="AP132" s="433">
        <f t="shared" ref="AP132:AP137" si="82">AK132*AL132*AM132*AO132</f>
        <v>0</v>
      </c>
      <c r="AQ132" s="411">
        <f t="shared" ref="AQ132:AQ137" si="83">AP132*$D$9</f>
        <v>0</v>
      </c>
      <c r="AR132" s="1"/>
    </row>
    <row r="133" spans="2:44" ht="15.75" x14ac:dyDescent="0.25">
      <c r="B133" s="435"/>
      <c r="C133" s="491" t="str">
        <f>IF(B133&lt;=0,"",VLOOKUP(B133,Treatments!$C$7:$J$407,2))</f>
        <v/>
      </c>
      <c r="D133" s="492"/>
      <c r="E133" s="433">
        <f>VLOOKUP(B133,Treatments!$C$7:$J$407,8)</f>
        <v>0</v>
      </c>
      <c r="F133" s="435"/>
      <c r="G133" s="493"/>
      <c r="H133" s="433">
        <f t="shared" si="69"/>
        <v>0</v>
      </c>
      <c r="I133" s="411">
        <f t="shared" si="74"/>
        <v>0</v>
      </c>
      <c r="L133" s="305"/>
      <c r="M133" s="491" t="str">
        <f>VLOOKUP(L133,Treatments!$C$7:$J$407,2)</f>
        <v>No treatment</v>
      </c>
      <c r="N133" s="306"/>
      <c r="O133" s="433">
        <f>VLOOKUP(L133,Treatments!$C$7:$J$407,8)</f>
        <v>0</v>
      </c>
      <c r="P133" s="305"/>
      <c r="Q133" s="160"/>
      <c r="R133" s="308"/>
      <c r="S133" s="433">
        <f t="shared" si="76"/>
        <v>0</v>
      </c>
      <c r="T133" s="411">
        <f t="shared" si="77"/>
        <v>0</v>
      </c>
      <c r="U133" s="1"/>
      <c r="Y133" s="447">
        <f t="shared" si="75"/>
        <v>0</v>
      </c>
      <c r="Z133" s="491" t="str">
        <f>VLOOKUP(Y133,Treatments!$C$7:$J$407,2)</f>
        <v>No treatment</v>
      </c>
      <c r="AA133" s="495">
        <f t="shared" si="70"/>
        <v>0</v>
      </c>
      <c r="AB133" s="433">
        <f>VLOOKUP(Y133,Treatments!$C$7:$J$407,8)</f>
        <v>0</v>
      </c>
      <c r="AC133" s="495">
        <f t="shared" si="71"/>
        <v>0</v>
      </c>
      <c r="AD133" s="496">
        <f t="shared" si="71"/>
        <v>0</v>
      </c>
      <c r="AE133" s="433">
        <f t="shared" si="72"/>
        <v>0</v>
      </c>
      <c r="AF133" s="411">
        <f t="shared" si="73"/>
        <v>0</v>
      </c>
      <c r="AI133" s="447">
        <f t="shared" si="78"/>
        <v>0</v>
      </c>
      <c r="AJ133" s="491" t="str">
        <f>VLOOKUP(AI133,Treatments!$C$7:$J$407,2)</f>
        <v>No treatment</v>
      </c>
      <c r="AK133" s="495">
        <f t="shared" si="79"/>
        <v>0</v>
      </c>
      <c r="AL133" s="433">
        <f>VLOOKUP(AI133,Treatments!$C$7:$J$407,8)</f>
        <v>0</v>
      </c>
      <c r="AM133" s="495">
        <f t="shared" si="80"/>
        <v>0</v>
      </c>
      <c r="AN133" s="160"/>
      <c r="AO133" s="496">
        <f t="shared" si="81"/>
        <v>0</v>
      </c>
      <c r="AP133" s="433">
        <f t="shared" si="82"/>
        <v>0</v>
      </c>
      <c r="AQ133" s="411">
        <f t="shared" si="83"/>
        <v>0</v>
      </c>
      <c r="AR133" s="1"/>
    </row>
    <row r="134" spans="2:44" ht="15.75" x14ac:dyDescent="0.25">
      <c r="B134" s="435"/>
      <c r="C134" s="491" t="str">
        <f>IF(B134&lt;=0,"",VLOOKUP(B134,Treatments!$C$7:$J$407,2))</f>
        <v/>
      </c>
      <c r="D134" s="492"/>
      <c r="E134" s="433">
        <f>VLOOKUP(B134,Treatments!$C$7:$J$407,8)</f>
        <v>0</v>
      </c>
      <c r="F134" s="435"/>
      <c r="G134" s="493"/>
      <c r="H134" s="433">
        <f t="shared" si="69"/>
        <v>0</v>
      </c>
      <c r="I134" s="411">
        <f t="shared" si="74"/>
        <v>0</v>
      </c>
      <c r="L134" s="305"/>
      <c r="M134" s="491" t="str">
        <f>VLOOKUP(L134,Treatments!$C$7:$J$407,2)</f>
        <v>No treatment</v>
      </c>
      <c r="N134" s="306"/>
      <c r="O134" s="433">
        <f>VLOOKUP(L134,Treatments!$C$7:$J$407,8)</f>
        <v>0</v>
      </c>
      <c r="P134" s="305"/>
      <c r="Q134" s="160"/>
      <c r="R134" s="308"/>
      <c r="S134" s="433">
        <f t="shared" si="76"/>
        <v>0</v>
      </c>
      <c r="T134" s="411">
        <f t="shared" si="77"/>
        <v>0</v>
      </c>
      <c r="U134" s="1"/>
      <c r="Y134" s="447">
        <f t="shared" si="75"/>
        <v>0</v>
      </c>
      <c r="Z134" s="491" t="str">
        <f>VLOOKUP(Y134,Treatments!$C$7:$J$407,2)</f>
        <v>No treatment</v>
      </c>
      <c r="AA134" s="495">
        <f t="shared" si="70"/>
        <v>0</v>
      </c>
      <c r="AB134" s="433">
        <f>VLOOKUP(Y134,Treatments!$C$7:$J$407,8)</f>
        <v>0</v>
      </c>
      <c r="AC134" s="495">
        <f t="shared" si="71"/>
        <v>0</v>
      </c>
      <c r="AD134" s="496">
        <f t="shared" si="71"/>
        <v>0</v>
      </c>
      <c r="AE134" s="433">
        <f t="shared" si="72"/>
        <v>0</v>
      </c>
      <c r="AF134" s="411">
        <f t="shared" si="73"/>
        <v>0</v>
      </c>
      <c r="AI134" s="447">
        <f t="shared" si="78"/>
        <v>0</v>
      </c>
      <c r="AJ134" s="491" t="str">
        <f>VLOOKUP(AI134,Treatments!$C$7:$J$407,2)</f>
        <v>No treatment</v>
      </c>
      <c r="AK134" s="495">
        <f t="shared" si="79"/>
        <v>0</v>
      </c>
      <c r="AL134" s="433">
        <f>VLOOKUP(AI134,Treatments!$C$7:$J$407,8)</f>
        <v>0</v>
      </c>
      <c r="AM134" s="495">
        <f t="shared" si="80"/>
        <v>0</v>
      </c>
      <c r="AN134" s="160"/>
      <c r="AO134" s="496">
        <f t="shared" si="81"/>
        <v>0</v>
      </c>
      <c r="AP134" s="433">
        <f t="shared" si="82"/>
        <v>0</v>
      </c>
      <c r="AQ134" s="411">
        <f t="shared" si="83"/>
        <v>0</v>
      </c>
      <c r="AR134" s="1"/>
    </row>
    <row r="135" spans="2:44" ht="15.75" x14ac:dyDescent="0.25">
      <c r="B135" s="435"/>
      <c r="C135" s="491" t="str">
        <f>IF(B135&lt;=0,"",VLOOKUP(B135,Treatments!$C$7:$J$407,2))</f>
        <v/>
      </c>
      <c r="D135" s="492"/>
      <c r="E135" s="433">
        <f>VLOOKUP(B135,Treatments!$C$7:$J$407,8)</f>
        <v>0</v>
      </c>
      <c r="F135" s="435"/>
      <c r="G135" s="493"/>
      <c r="H135" s="433">
        <f t="shared" si="69"/>
        <v>0</v>
      </c>
      <c r="I135" s="411">
        <f t="shared" si="74"/>
        <v>0</v>
      </c>
      <c r="L135" s="305"/>
      <c r="M135" s="491" t="str">
        <f>VLOOKUP(L135,Treatments!$C$7:$J$407,2)</f>
        <v>No treatment</v>
      </c>
      <c r="N135" s="306"/>
      <c r="O135" s="433">
        <f>VLOOKUP(L135,Treatments!$C$7:$J$407,8)</f>
        <v>0</v>
      </c>
      <c r="P135" s="305"/>
      <c r="Q135" s="160"/>
      <c r="R135" s="308"/>
      <c r="S135" s="433">
        <f t="shared" si="76"/>
        <v>0</v>
      </c>
      <c r="T135" s="411">
        <f t="shared" si="77"/>
        <v>0</v>
      </c>
      <c r="U135" s="1"/>
      <c r="Y135" s="447">
        <f t="shared" si="75"/>
        <v>0</v>
      </c>
      <c r="Z135" s="491" t="str">
        <f>VLOOKUP(Y135,Treatments!$C$7:$J$407,2)</f>
        <v>No treatment</v>
      </c>
      <c r="AA135" s="495">
        <f t="shared" si="70"/>
        <v>0</v>
      </c>
      <c r="AB135" s="433">
        <f>VLOOKUP(Y135,Treatments!$C$7:$J$407,8)</f>
        <v>0</v>
      </c>
      <c r="AC135" s="495">
        <f t="shared" si="71"/>
        <v>0</v>
      </c>
      <c r="AD135" s="496">
        <f t="shared" si="71"/>
        <v>0</v>
      </c>
      <c r="AE135" s="433">
        <f t="shared" si="72"/>
        <v>0</v>
      </c>
      <c r="AF135" s="411">
        <f t="shared" si="73"/>
        <v>0</v>
      </c>
      <c r="AI135" s="447">
        <f t="shared" si="78"/>
        <v>0</v>
      </c>
      <c r="AJ135" s="491" t="str">
        <f>VLOOKUP(AI135,Treatments!$C$7:$J$407,2)</f>
        <v>No treatment</v>
      </c>
      <c r="AK135" s="495">
        <f t="shared" si="79"/>
        <v>0</v>
      </c>
      <c r="AL135" s="433">
        <f>VLOOKUP(AI135,Treatments!$C$7:$J$407,8)</f>
        <v>0</v>
      </c>
      <c r="AM135" s="495">
        <f t="shared" si="80"/>
        <v>0</v>
      </c>
      <c r="AN135" s="160"/>
      <c r="AO135" s="496">
        <f t="shared" si="81"/>
        <v>0</v>
      </c>
      <c r="AP135" s="433">
        <f t="shared" si="82"/>
        <v>0</v>
      </c>
      <c r="AQ135" s="411">
        <f t="shared" si="83"/>
        <v>0</v>
      </c>
      <c r="AR135" s="1"/>
    </row>
    <row r="136" spans="2:44" ht="15.75" x14ac:dyDescent="0.25">
      <c r="B136" s="435"/>
      <c r="C136" s="491" t="str">
        <f>IF(B136&lt;=0,"",VLOOKUP(B136,Treatments!$C$7:$J$407,2))</f>
        <v/>
      </c>
      <c r="D136" s="492"/>
      <c r="E136" s="433">
        <f>VLOOKUP(B136,Treatments!$C$7:$J$407,8)</f>
        <v>0</v>
      </c>
      <c r="F136" s="435"/>
      <c r="G136" s="493"/>
      <c r="H136" s="433">
        <f t="shared" si="69"/>
        <v>0</v>
      </c>
      <c r="I136" s="411">
        <f t="shared" si="74"/>
        <v>0</v>
      </c>
      <c r="L136" s="435"/>
      <c r="M136" s="491" t="str">
        <f>VLOOKUP(L136,Treatments!$C$7:$J$407,2)</f>
        <v>No treatment</v>
      </c>
      <c r="N136" s="492"/>
      <c r="O136" s="433">
        <f>VLOOKUP(L136,Treatments!$C$7:$J$407,8)</f>
        <v>0</v>
      </c>
      <c r="P136" s="435"/>
      <c r="Q136" s="160"/>
      <c r="R136" s="308"/>
      <c r="S136" s="433">
        <f t="shared" si="76"/>
        <v>0</v>
      </c>
      <c r="T136" s="411">
        <f t="shared" si="77"/>
        <v>0</v>
      </c>
      <c r="U136" s="1"/>
      <c r="Y136" s="447">
        <f t="shared" si="75"/>
        <v>0</v>
      </c>
      <c r="Z136" s="491" t="str">
        <f>VLOOKUP(Y136,Treatments!$C$7:$J$407,2)</f>
        <v>No treatment</v>
      </c>
      <c r="AA136" s="495">
        <f t="shared" si="70"/>
        <v>0</v>
      </c>
      <c r="AB136" s="433">
        <f>VLOOKUP(Y136,Treatments!$C$7:$J$407,8)</f>
        <v>0</v>
      </c>
      <c r="AC136" s="495">
        <f t="shared" si="71"/>
        <v>0</v>
      </c>
      <c r="AD136" s="496">
        <f t="shared" si="71"/>
        <v>0</v>
      </c>
      <c r="AE136" s="433">
        <f t="shared" si="72"/>
        <v>0</v>
      </c>
      <c r="AF136" s="411">
        <f t="shared" si="73"/>
        <v>0</v>
      </c>
      <c r="AI136" s="447">
        <f t="shared" si="78"/>
        <v>0</v>
      </c>
      <c r="AJ136" s="491" t="str">
        <f>VLOOKUP(AI136,Treatments!$C$7:$J$407,2)</f>
        <v>No treatment</v>
      </c>
      <c r="AK136" s="495">
        <f t="shared" si="79"/>
        <v>0</v>
      </c>
      <c r="AL136" s="433">
        <f>VLOOKUP(AI136,Treatments!$C$7:$J$407,8)</f>
        <v>0</v>
      </c>
      <c r="AM136" s="495">
        <f t="shared" si="80"/>
        <v>0</v>
      </c>
      <c r="AN136" s="160"/>
      <c r="AO136" s="496">
        <f t="shared" si="81"/>
        <v>0</v>
      </c>
      <c r="AP136" s="433">
        <f t="shared" si="82"/>
        <v>0</v>
      </c>
      <c r="AQ136" s="411">
        <f t="shared" si="83"/>
        <v>0</v>
      </c>
      <c r="AR136" s="1"/>
    </row>
    <row r="137" spans="2:44" x14ac:dyDescent="0.2">
      <c r="B137" s="435"/>
      <c r="C137" s="491" t="str">
        <f>IF(B137&lt;=0,"",VLOOKUP(B137,Treatments!$C$7:$J$407,2))</f>
        <v/>
      </c>
      <c r="D137" s="492"/>
      <c r="E137" s="433">
        <f>VLOOKUP(B137,Treatments!$C$7:$J$407,8)</f>
        <v>0</v>
      </c>
      <c r="F137" s="435"/>
      <c r="G137" s="493"/>
      <c r="H137" s="433">
        <f t="shared" si="69"/>
        <v>0</v>
      </c>
      <c r="I137" s="411">
        <f t="shared" si="74"/>
        <v>0</v>
      </c>
      <c r="L137" s="435"/>
      <c r="M137" s="491" t="str">
        <f>VLOOKUP(L137,Treatments!$C$7:$J$407,2)</f>
        <v>No treatment</v>
      </c>
      <c r="N137" s="492"/>
      <c r="O137" s="433">
        <f>VLOOKUP(L137,Treatments!$C$7:$J$407,8)</f>
        <v>0</v>
      </c>
      <c r="P137" s="435"/>
      <c r="Q137" s="498"/>
      <c r="R137" s="493"/>
      <c r="S137" s="433">
        <f t="shared" si="76"/>
        <v>0</v>
      </c>
      <c r="T137" s="411">
        <f t="shared" si="77"/>
        <v>0</v>
      </c>
      <c r="U137" s="1"/>
      <c r="Y137" s="447">
        <f t="shared" si="75"/>
        <v>0</v>
      </c>
      <c r="Z137" s="491" t="str">
        <f>VLOOKUP(Y137,Treatments!$C$7:$J$407,2)</f>
        <v>No treatment</v>
      </c>
      <c r="AA137" s="495">
        <f t="shared" si="70"/>
        <v>0</v>
      </c>
      <c r="AB137" s="433">
        <f>VLOOKUP(Y137,Treatments!$C$7:$J$407,8)</f>
        <v>0</v>
      </c>
      <c r="AC137" s="495">
        <f t="shared" si="71"/>
        <v>0</v>
      </c>
      <c r="AD137" s="496">
        <f t="shared" si="71"/>
        <v>0</v>
      </c>
      <c r="AE137" s="433">
        <f t="shared" si="72"/>
        <v>0</v>
      </c>
      <c r="AF137" s="411">
        <f t="shared" si="73"/>
        <v>0</v>
      </c>
      <c r="AI137" s="447">
        <f t="shared" si="78"/>
        <v>0</v>
      </c>
      <c r="AJ137" s="491" t="str">
        <f>VLOOKUP(AI137,Treatments!$C$7:$J$407,2)</f>
        <v>No treatment</v>
      </c>
      <c r="AK137" s="495">
        <f t="shared" si="79"/>
        <v>0</v>
      </c>
      <c r="AL137" s="433">
        <f>VLOOKUP(AI137,Treatments!$C$7:$J$407,8)</f>
        <v>0</v>
      </c>
      <c r="AM137" s="495">
        <f t="shared" si="80"/>
        <v>0</v>
      </c>
      <c r="AN137" s="498"/>
      <c r="AO137" s="496">
        <f t="shared" si="81"/>
        <v>0</v>
      </c>
      <c r="AP137" s="433">
        <f t="shared" si="82"/>
        <v>0</v>
      </c>
      <c r="AQ137" s="411">
        <f t="shared" si="83"/>
        <v>0</v>
      </c>
      <c r="AR137" s="1"/>
    </row>
    <row r="138" spans="2:44" ht="15.75" x14ac:dyDescent="0.25">
      <c r="B138" s="435"/>
      <c r="C138" s="491" t="str">
        <f>IF(B138&lt;=0,"",VLOOKUP(B138,Treatments!$C$7:$J$407,2))</f>
        <v/>
      </c>
      <c r="D138" s="492"/>
      <c r="E138" s="433">
        <f>VLOOKUP(B138,Treatments!$C$7:$J$407,8)</f>
        <v>0</v>
      </c>
      <c r="F138" s="435"/>
      <c r="G138" s="493"/>
      <c r="H138" s="433">
        <f t="shared" si="69"/>
        <v>0</v>
      </c>
      <c r="I138" s="411">
        <f t="shared" si="74"/>
        <v>0</v>
      </c>
      <c r="L138" s="1"/>
      <c r="M138" s="14"/>
      <c r="N138" s="13" t="s">
        <v>584</v>
      </c>
      <c r="O138" s="6"/>
      <c r="P138" s="1"/>
      <c r="Q138" s="6"/>
      <c r="R138" s="1"/>
      <c r="S138" s="510">
        <f>SUM(S110:S137)</f>
        <v>0</v>
      </c>
      <c r="T138" s="411">
        <f t="shared" si="77"/>
        <v>0</v>
      </c>
      <c r="U138" s="1"/>
      <c r="Y138" s="447">
        <f t="shared" si="75"/>
        <v>0</v>
      </c>
      <c r="Z138" s="491" t="str">
        <f>VLOOKUP(Y138,Treatments!$C$7:$J$407,2)</f>
        <v>No treatment</v>
      </c>
      <c r="AA138" s="495">
        <f t="shared" si="70"/>
        <v>0</v>
      </c>
      <c r="AB138" s="433">
        <f>VLOOKUP(Y138,Treatments!$C$7:$J$407,8)</f>
        <v>0</v>
      </c>
      <c r="AC138" s="495">
        <f t="shared" si="71"/>
        <v>0</v>
      </c>
      <c r="AD138" s="496">
        <f t="shared" si="71"/>
        <v>0</v>
      </c>
      <c r="AE138" s="433">
        <f t="shared" si="72"/>
        <v>0</v>
      </c>
      <c r="AF138" s="411">
        <f t="shared" si="73"/>
        <v>0</v>
      </c>
      <c r="AI138" s="1"/>
      <c r="AJ138" s="14"/>
      <c r="AK138" s="13" t="s">
        <v>584</v>
      </c>
      <c r="AL138" s="6"/>
      <c r="AM138" s="1"/>
      <c r="AN138" s="6"/>
      <c r="AO138" s="1"/>
      <c r="AP138" s="510">
        <f>SUM(AP110:AP137)</f>
        <v>0</v>
      </c>
      <c r="AQ138" s="510">
        <f>SUM(AQ110:AQ137)</f>
        <v>0</v>
      </c>
      <c r="AR138" s="1"/>
    </row>
    <row r="139" spans="2:44" x14ac:dyDescent="0.2">
      <c r="B139" s="1"/>
      <c r="C139" s="1"/>
      <c r="D139" s="1"/>
      <c r="E139" s="1"/>
      <c r="F139" s="1"/>
      <c r="G139" s="6"/>
      <c r="H139" s="1"/>
      <c r="I139" s="1"/>
      <c r="L139" s="1"/>
      <c r="M139" s="1"/>
      <c r="N139" s="1"/>
      <c r="O139" s="1"/>
      <c r="P139" s="1"/>
      <c r="Q139" s="1"/>
      <c r="R139" s="1"/>
      <c r="S139" s="1"/>
      <c r="T139" s="1"/>
      <c r="U139" s="1"/>
      <c r="Y139" s="1"/>
      <c r="Z139" s="1"/>
      <c r="AA139" s="6"/>
      <c r="AB139" s="6"/>
      <c r="AC139" s="6"/>
      <c r="AD139" s="6"/>
      <c r="AE139" s="6"/>
      <c r="AF139" s="6"/>
      <c r="AI139" s="1"/>
      <c r="AJ139" s="1"/>
      <c r="AK139" s="1"/>
      <c r="AL139" s="1"/>
      <c r="AM139" s="1"/>
      <c r="AN139" s="1"/>
      <c r="AO139" s="1"/>
      <c r="AP139" s="1"/>
      <c r="AQ139" s="1"/>
      <c r="AR139" s="1"/>
    </row>
    <row r="140" spans="2:44" ht="15.75" x14ac:dyDescent="0.25">
      <c r="B140" s="501" t="s">
        <v>994</v>
      </c>
      <c r="C140" s="502" t="s">
        <v>581</v>
      </c>
      <c r="D140" s="503" t="s">
        <v>616</v>
      </c>
      <c r="E140" s="501" t="s">
        <v>619</v>
      </c>
      <c r="F140" s="504" t="s">
        <v>617</v>
      </c>
      <c r="G140" s="504" t="s">
        <v>618</v>
      </c>
      <c r="H140" s="505"/>
      <c r="I140" s="506"/>
      <c r="L140" s="1"/>
      <c r="M140" s="1"/>
      <c r="N140" s="1"/>
      <c r="O140" s="1"/>
      <c r="P140" s="1"/>
      <c r="Q140" s="1"/>
      <c r="R140" s="1"/>
      <c r="S140" s="511"/>
      <c r="T140" s="512"/>
      <c r="U140" s="1"/>
      <c r="Y140" s="6" t="s">
        <v>994</v>
      </c>
      <c r="Z140" s="5" t="s">
        <v>581</v>
      </c>
      <c r="AA140" s="6" t="s">
        <v>616</v>
      </c>
      <c r="AB140" s="6" t="s">
        <v>619</v>
      </c>
      <c r="AC140" s="6" t="s">
        <v>617</v>
      </c>
      <c r="AD140" s="6" t="s">
        <v>618</v>
      </c>
      <c r="AE140" s="507"/>
      <c r="AF140" s="508"/>
      <c r="AI140" s="1"/>
      <c r="AJ140" s="1"/>
      <c r="AK140" s="1"/>
      <c r="AL140" s="1"/>
      <c r="AM140" s="1"/>
      <c r="AN140" s="1"/>
      <c r="AO140" s="1"/>
      <c r="AP140" s="511"/>
      <c r="AQ140" s="512"/>
      <c r="AR140" s="1"/>
    </row>
    <row r="141" spans="2:44" ht="15.75" x14ac:dyDescent="0.25">
      <c r="B141" s="305"/>
      <c r="C141" s="491" t="str">
        <f>IF(B141&lt;=0,"",VLOOKUP(B141,Treatments!$C$7:$J$407,2))</f>
        <v/>
      </c>
      <c r="D141" s="306"/>
      <c r="E141" s="433">
        <f>VLOOKUP(B141,Treatments!$C$7:$J$407,8)</f>
        <v>0</v>
      </c>
      <c r="F141" s="305"/>
      <c r="G141" s="308"/>
      <c r="H141" s="433">
        <f t="shared" ref="H141:H147" si="84">D141*E141*F141*G141</f>
        <v>0</v>
      </c>
      <c r="I141" s="411">
        <f>H141*$D$9</f>
        <v>0</v>
      </c>
      <c r="L141" s="1"/>
      <c r="N141" s="1"/>
      <c r="O141" s="1"/>
      <c r="P141" s="1"/>
      <c r="Q141" s="1"/>
      <c r="R141" s="12" t="s">
        <v>794</v>
      </c>
      <c r="S141" s="513"/>
      <c r="T141" s="510">
        <f>S141*$D$9</f>
        <v>0</v>
      </c>
      <c r="U141" s="1"/>
      <c r="Y141" s="447">
        <f t="shared" ref="Y141:Y146" si="85">IF(AND(B141&gt;=344,B141&lt;=358),B141+15,B141)</f>
        <v>0</v>
      </c>
      <c r="Z141" s="491" t="str">
        <f>VLOOKUP(Y141,Treatments!$C$7:$J$407,2)</f>
        <v>No treatment</v>
      </c>
      <c r="AA141" s="495">
        <f>D141</f>
        <v>0</v>
      </c>
      <c r="AB141" s="433">
        <f>VLOOKUP(Y141,Treatments!$C$7:$J$407,8)</f>
        <v>0</v>
      </c>
      <c r="AC141" s="495">
        <f>F141</f>
        <v>0</v>
      </c>
      <c r="AD141" s="496">
        <f t="shared" ref="AD141:AD147" si="86">G141</f>
        <v>0</v>
      </c>
      <c r="AE141" s="433">
        <f t="shared" ref="AE141:AE147" si="87">AA141*AB141*AC141*AD141</f>
        <v>0</v>
      </c>
      <c r="AF141" s="411">
        <f t="shared" ref="AF141:AF147" si="88">AE141*$D$9</f>
        <v>0</v>
      </c>
      <c r="AI141" s="1"/>
      <c r="AK141" s="1"/>
      <c r="AL141" s="1"/>
      <c r="AM141" s="1"/>
      <c r="AN141" s="1"/>
      <c r="AO141" s="12" t="s">
        <v>794</v>
      </c>
      <c r="AP141" s="510">
        <f>S141</f>
        <v>0</v>
      </c>
      <c r="AQ141" s="510">
        <f>AP141*$D$9</f>
        <v>0</v>
      </c>
      <c r="AR141" s="1"/>
    </row>
    <row r="142" spans="2:44" ht="15.75" x14ac:dyDescent="0.25">
      <c r="B142" s="305"/>
      <c r="C142" s="491" t="str">
        <f>IF(B142&lt;=0,"",VLOOKUP(B142,Treatments!$C$7:$J$407,2))</f>
        <v/>
      </c>
      <c r="D142" s="306"/>
      <c r="E142" s="433">
        <f>VLOOKUP(B142,Treatments!$C$7:$J$407,8)</f>
        <v>0</v>
      </c>
      <c r="F142" s="305"/>
      <c r="G142" s="308"/>
      <c r="H142" s="433">
        <f t="shared" si="84"/>
        <v>0</v>
      </c>
      <c r="I142" s="411">
        <f t="shared" ref="I142:I147" si="89">H142*$D$9</f>
        <v>0</v>
      </c>
      <c r="L142" s="1"/>
      <c r="M142" s="1"/>
      <c r="N142" s="1"/>
      <c r="O142" s="1"/>
      <c r="P142" s="1"/>
      <c r="Q142" s="12" t="s">
        <v>585</v>
      </c>
      <c r="R142" s="514">
        <v>0.05</v>
      </c>
      <c r="S142" s="510">
        <f>S141+S140+S138</f>
        <v>0</v>
      </c>
      <c r="T142" s="510">
        <f>T141+T140+T138</f>
        <v>0</v>
      </c>
      <c r="U142" s="1"/>
      <c r="Y142" s="447">
        <f t="shared" si="85"/>
        <v>0</v>
      </c>
      <c r="Z142" s="491" t="str">
        <f>VLOOKUP(Y142,Treatments!$C$7:$J$407,2)</f>
        <v>No treatment</v>
      </c>
      <c r="AA142" s="495">
        <f t="shared" ref="AA142:AA147" si="90">D142</f>
        <v>0</v>
      </c>
      <c r="AB142" s="433">
        <f>VLOOKUP(Y142,Treatments!$C$7:$J$407,8)</f>
        <v>0</v>
      </c>
      <c r="AC142" s="495">
        <f t="shared" ref="AC142:AC147" si="91">F142</f>
        <v>0</v>
      </c>
      <c r="AD142" s="496">
        <f t="shared" si="86"/>
        <v>0</v>
      </c>
      <c r="AE142" s="433">
        <f t="shared" si="87"/>
        <v>0</v>
      </c>
      <c r="AF142" s="411">
        <f t="shared" si="88"/>
        <v>0</v>
      </c>
      <c r="AI142" s="1"/>
      <c r="AJ142" s="1"/>
      <c r="AK142" s="1"/>
      <c r="AL142" s="1"/>
      <c r="AM142" s="1"/>
      <c r="AN142" s="12" t="s">
        <v>585</v>
      </c>
      <c r="AO142" s="496">
        <f>R142</f>
        <v>0.05</v>
      </c>
      <c r="AP142" s="510">
        <f>AP141+AP140+AP138</f>
        <v>0</v>
      </c>
      <c r="AQ142" s="510">
        <f>AQ141+AQ140+AQ138</f>
        <v>0</v>
      </c>
      <c r="AR142" s="1"/>
    </row>
    <row r="143" spans="2:44" ht="15.75" x14ac:dyDescent="0.25">
      <c r="B143" s="305"/>
      <c r="C143" s="491" t="str">
        <f>IF(B143&lt;=0,"",VLOOKUP(B143,Treatments!$C$7:$J$407,2))</f>
        <v/>
      </c>
      <c r="D143" s="306"/>
      <c r="E143" s="433">
        <f>VLOOKUP(B143,Treatments!$C$7:$J$407,8)</f>
        <v>0</v>
      </c>
      <c r="F143" s="305"/>
      <c r="G143" s="308"/>
      <c r="H143" s="433">
        <f t="shared" si="84"/>
        <v>0</v>
      </c>
      <c r="I143" s="411">
        <f t="shared" si="89"/>
        <v>0</v>
      </c>
      <c r="L143" s="1"/>
      <c r="N143" s="1"/>
      <c r="O143" s="17" t="s">
        <v>586</v>
      </c>
      <c r="P143" s="12" t="s">
        <v>587</v>
      </c>
      <c r="Q143" s="420">
        <v>30</v>
      </c>
      <c r="R143" s="1" t="s">
        <v>588</v>
      </c>
      <c r="S143" s="511">
        <f>PMT(R142,Q143,S142)*-1</f>
        <v>0</v>
      </c>
      <c r="T143" s="1" t="s">
        <v>589</v>
      </c>
      <c r="U143" s="1"/>
      <c r="Y143" s="447">
        <f t="shared" si="85"/>
        <v>0</v>
      </c>
      <c r="Z143" s="491" t="str">
        <f>VLOOKUP(Y143,Treatments!$C$7:$J$407,2)</f>
        <v>No treatment</v>
      </c>
      <c r="AA143" s="495">
        <f t="shared" si="90"/>
        <v>0</v>
      </c>
      <c r="AB143" s="433">
        <f>VLOOKUP(Y143,Treatments!$C$7:$J$407,8)</f>
        <v>0</v>
      </c>
      <c r="AC143" s="495">
        <f t="shared" si="91"/>
        <v>0</v>
      </c>
      <c r="AD143" s="496">
        <f t="shared" si="86"/>
        <v>0</v>
      </c>
      <c r="AE143" s="433">
        <f t="shared" si="87"/>
        <v>0</v>
      </c>
      <c r="AF143" s="411">
        <f t="shared" si="88"/>
        <v>0</v>
      </c>
      <c r="AI143" s="1"/>
      <c r="AK143" s="1"/>
      <c r="AL143" s="17" t="s">
        <v>586</v>
      </c>
      <c r="AM143" s="12" t="s">
        <v>587</v>
      </c>
      <c r="AN143" s="447">
        <f>Q143</f>
        <v>30</v>
      </c>
      <c r="AO143" s="1" t="s">
        <v>588</v>
      </c>
      <c r="AP143" s="511">
        <f>PMT(AO142,AN143,AP142)*-1</f>
        <v>0</v>
      </c>
      <c r="AQ143" s="1" t="s">
        <v>589</v>
      </c>
      <c r="AR143" s="1"/>
    </row>
    <row r="144" spans="2:44" ht="15.75" x14ac:dyDescent="0.25">
      <c r="B144" s="305"/>
      <c r="C144" s="491" t="str">
        <f>IF(B144&lt;=0,"",VLOOKUP(B144,Treatments!$C$7:$J$407,2))</f>
        <v/>
      </c>
      <c r="D144" s="492"/>
      <c r="E144" s="433">
        <f>VLOOKUP(B144,Treatments!$C$7:$J$407,8)</f>
        <v>0</v>
      </c>
      <c r="F144" s="435"/>
      <c r="G144" s="493"/>
      <c r="H144" s="433">
        <f t="shared" si="84"/>
        <v>0</v>
      </c>
      <c r="I144" s="411">
        <f t="shared" si="89"/>
        <v>0</v>
      </c>
      <c r="L144" s="1"/>
      <c r="N144" s="1"/>
      <c r="T144" s="1"/>
      <c r="U144" s="1"/>
      <c r="Y144" s="447">
        <f t="shared" si="85"/>
        <v>0</v>
      </c>
      <c r="Z144" s="491" t="str">
        <f>VLOOKUP(Y144,Treatments!$C$7:$J$407,2)</f>
        <v>No treatment</v>
      </c>
      <c r="AA144" s="495">
        <f t="shared" si="90"/>
        <v>0</v>
      </c>
      <c r="AB144" s="433">
        <f>VLOOKUP(Y144,Treatments!$C$7:$J$407,8)</f>
        <v>0</v>
      </c>
      <c r="AC144" s="495">
        <f t="shared" si="91"/>
        <v>0</v>
      </c>
      <c r="AD144" s="496">
        <f t="shared" si="86"/>
        <v>0</v>
      </c>
      <c r="AE144" s="433">
        <f t="shared" si="87"/>
        <v>0</v>
      </c>
      <c r="AF144" s="411">
        <f t="shared" si="88"/>
        <v>0</v>
      </c>
      <c r="AI144" s="1"/>
      <c r="AJ144" s="1"/>
      <c r="AK144" s="1"/>
      <c r="AL144" s="1"/>
      <c r="AM144" s="1"/>
      <c r="AN144" s="1"/>
      <c r="AO144" s="1"/>
      <c r="AP144" s="1"/>
      <c r="AQ144" s="1"/>
      <c r="AR144" s="1"/>
    </row>
    <row r="145" spans="2:44" ht="15.75" x14ac:dyDescent="0.25">
      <c r="B145" s="305"/>
      <c r="C145" s="491" t="str">
        <f>IF(B145&lt;=0,"",VLOOKUP(B145,Treatments!$C$7:$J$407,2))</f>
        <v/>
      </c>
      <c r="D145" s="492"/>
      <c r="E145" s="433">
        <f>VLOOKUP(B145,Treatments!$C$7:$J$407,8)</f>
        <v>0</v>
      </c>
      <c r="F145" s="435"/>
      <c r="G145" s="493"/>
      <c r="H145" s="433">
        <f t="shared" si="84"/>
        <v>0</v>
      </c>
      <c r="I145" s="411">
        <f t="shared" si="89"/>
        <v>0</v>
      </c>
      <c r="L145" s="1"/>
      <c r="M145" s="1"/>
      <c r="N145" s="1"/>
      <c r="O145" s="1"/>
      <c r="P145" s="1"/>
      <c r="Q145" s="1"/>
      <c r="R145" s="1"/>
      <c r="S145" s="1"/>
      <c r="T145" s="1"/>
      <c r="U145" s="1"/>
      <c r="Y145" s="447">
        <f t="shared" si="85"/>
        <v>0</v>
      </c>
      <c r="Z145" s="491" t="str">
        <f>VLOOKUP(Y145,Treatments!$C$7:$J$407,2)</f>
        <v>No treatment</v>
      </c>
      <c r="AA145" s="495">
        <f t="shared" si="90"/>
        <v>0</v>
      </c>
      <c r="AB145" s="433">
        <f>VLOOKUP(Y145,Treatments!$C$7:$J$407,8)</f>
        <v>0</v>
      </c>
      <c r="AC145" s="495">
        <f t="shared" si="91"/>
        <v>0</v>
      </c>
      <c r="AD145" s="496">
        <f t="shared" si="86"/>
        <v>0</v>
      </c>
      <c r="AE145" s="433">
        <f t="shared" si="87"/>
        <v>0</v>
      </c>
      <c r="AF145" s="411">
        <f t="shared" si="88"/>
        <v>0</v>
      </c>
      <c r="AI145" s="1"/>
      <c r="AJ145" s="1"/>
      <c r="AK145" s="1"/>
      <c r="AL145" s="1"/>
      <c r="AM145" s="1"/>
      <c r="AN145" s="1"/>
      <c r="AO145" s="1"/>
      <c r="AP145" s="1"/>
      <c r="AQ145" s="1"/>
      <c r="AR145" s="1"/>
    </row>
    <row r="146" spans="2:44" x14ac:dyDescent="0.2">
      <c r="B146" s="435"/>
      <c r="C146" s="491" t="str">
        <f>IF(B146&lt;=0,"",VLOOKUP(B146,Treatments!$C$7:$J$407,2))</f>
        <v/>
      </c>
      <c r="D146" s="492"/>
      <c r="E146" s="433">
        <f>VLOOKUP(B146,Treatments!$C$7:$J$407,8)</f>
        <v>0</v>
      </c>
      <c r="F146" s="435"/>
      <c r="G146" s="493"/>
      <c r="H146" s="433">
        <f t="shared" si="84"/>
        <v>0</v>
      </c>
      <c r="I146" s="411">
        <f t="shared" si="89"/>
        <v>0</v>
      </c>
      <c r="L146" s="1"/>
      <c r="M146" s="1"/>
      <c r="N146" s="1"/>
      <c r="O146" s="1"/>
      <c r="P146" s="1"/>
      <c r="Q146" s="1"/>
      <c r="R146" s="1"/>
      <c r="S146" s="1"/>
      <c r="T146" s="1"/>
      <c r="U146" s="1"/>
      <c r="Y146" s="447">
        <f t="shared" si="85"/>
        <v>0</v>
      </c>
      <c r="Z146" s="491" t="str">
        <f>VLOOKUP(Y146,Treatments!$C$7:$J$407,2)</f>
        <v>No treatment</v>
      </c>
      <c r="AA146" s="495">
        <f t="shared" si="90"/>
        <v>0</v>
      </c>
      <c r="AB146" s="433">
        <f>VLOOKUP(Y146,Treatments!$C$7:$J$407,8)</f>
        <v>0</v>
      </c>
      <c r="AC146" s="495">
        <f t="shared" si="91"/>
        <v>0</v>
      </c>
      <c r="AD146" s="496">
        <f t="shared" si="86"/>
        <v>0</v>
      </c>
      <c r="AE146" s="433">
        <f t="shared" si="87"/>
        <v>0</v>
      </c>
      <c r="AF146" s="411">
        <f t="shared" si="88"/>
        <v>0</v>
      </c>
      <c r="AI146" s="1"/>
      <c r="AJ146" s="1"/>
      <c r="AK146" s="1"/>
      <c r="AL146" s="1"/>
      <c r="AM146" s="1"/>
      <c r="AN146" s="1"/>
      <c r="AO146" s="1"/>
      <c r="AP146" s="1"/>
      <c r="AQ146" s="1"/>
      <c r="AR146" s="1"/>
    </row>
    <row r="147" spans="2:44" x14ac:dyDescent="0.2">
      <c r="B147" s="1"/>
      <c r="C147" s="1" t="s">
        <v>586</v>
      </c>
      <c r="D147" s="492"/>
      <c r="E147" s="433">
        <f>S143</f>
        <v>0</v>
      </c>
      <c r="F147" s="435"/>
      <c r="G147" s="493"/>
      <c r="H147" s="433">
        <f t="shared" si="84"/>
        <v>0</v>
      </c>
      <c r="I147" s="411">
        <f t="shared" si="89"/>
        <v>0</v>
      </c>
      <c r="L147" s="1"/>
      <c r="M147" s="1"/>
      <c r="N147" s="1"/>
      <c r="O147" s="1"/>
      <c r="P147" s="1"/>
      <c r="Q147" s="1"/>
      <c r="R147" s="1"/>
      <c r="S147" s="1"/>
      <c r="T147" s="1"/>
      <c r="U147" s="1"/>
      <c r="Y147" s="1"/>
      <c r="Z147" s="1" t="s">
        <v>586</v>
      </c>
      <c r="AA147" s="495">
        <f t="shared" si="90"/>
        <v>0</v>
      </c>
      <c r="AB147" s="433">
        <f>AP143</f>
        <v>0</v>
      </c>
      <c r="AC147" s="495">
        <f t="shared" si="91"/>
        <v>0</v>
      </c>
      <c r="AD147" s="496">
        <f t="shared" si="86"/>
        <v>0</v>
      </c>
      <c r="AE147" s="433">
        <f t="shared" si="87"/>
        <v>0</v>
      </c>
      <c r="AF147" s="411">
        <f t="shared" si="88"/>
        <v>0</v>
      </c>
      <c r="AI147" s="1"/>
      <c r="AJ147" s="1"/>
      <c r="AK147" s="1"/>
      <c r="AL147" s="1"/>
      <c r="AM147" s="1"/>
      <c r="AN147" s="1"/>
      <c r="AO147" s="1"/>
      <c r="AP147" s="1"/>
      <c r="AQ147" s="1"/>
      <c r="AR147" s="1"/>
    </row>
    <row r="148" spans="2:44" ht="15.75" x14ac:dyDescent="0.25">
      <c r="B148" s="515"/>
      <c r="C148" s="515"/>
      <c r="D148" s="515"/>
      <c r="E148" s="516"/>
      <c r="F148" s="517" t="s">
        <v>796</v>
      </c>
      <c r="G148" s="515"/>
      <c r="H148" s="510">
        <f>SUM(H110:H147)</f>
        <v>0</v>
      </c>
      <c r="I148" s="510">
        <f>SUM(I110:I147)</f>
        <v>0</v>
      </c>
      <c r="L148" s="1" t="s">
        <v>791</v>
      </c>
      <c r="M148" s="1"/>
      <c r="N148" s="1"/>
      <c r="O148" s="1"/>
      <c r="P148" s="1"/>
      <c r="Q148" s="1"/>
      <c r="R148" s="1"/>
      <c r="S148" s="1"/>
      <c r="T148" s="1"/>
      <c r="U148" s="1"/>
      <c r="Y148" s="515"/>
      <c r="Z148" s="515"/>
      <c r="AA148" s="518"/>
      <c r="AB148" s="516"/>
      <c r="AC148" s="518" t="s">
        <v>796</v>
      </c>
      <c r="AD148" s="518"/>
      <c r="AE148" s="510">
        <f>SUM(AE110:AE147)</f>
        <v>0</v>
      </c>
      <c r="AF148" s="510">
        <f>SUM(AF110:AF147)</f>
        <v>0</v>
      </c>
      <c r="AI148" s="1"/>
      <c r="AJ148" s="1"/>
      <c r="AK148" s="1"/>
      <c r="AL148" s="1"/>
      <c r="AM148" s="1"/>
      <c r="AN148" s="1"/>
      <c r="AO148" s="1"/>
      <c r="AP148" s="1"/>
      <c r="AQ148" s="1"/>
      <c r="AR148" s="1"/>
    </row>
    <row r="149" spans="2:44" x14ac:dyDescent="0.2">
      <c r="B149" s="515"/>
      <c r="D149" s="515"/>
      <c r="E149" s="516"/>
      <c r="F149" s="515"/>
      <c r="G149" s="515"/>
      <c r="H149" s="515"/>
      <c r="L149" s="1" t="s">
        <v>790</v>
      </c>
      <c r="M149" s="1"/>
      <c r="N149" s="1"/>
      <c r="O149" s="1"/>
      <c r="P149" s="1"/>
      <c r="Q149" s="1"/>
      <c r="R149" s="1"/>
      <c r="S149" s="1"/>
      <c r="T149" s="1"/>
      <c r="U149" s="1"/>
    </row>
    <row r="150" spans="2:44" x14ac:dyDescent="0.2">
      <c r="D150" s="515"/>
      <c r="E150" s="516"/>
      <c r="F150" s="515"/>
      <c r="G150" s="515"/>
      <c r="H150" s="515"/>
      <c r="L150" s="1"/>
      <c r="M150" s="1"/>
      <c r="N150" s="1"/>
      <c r="O150" s="1"/>
      <c r="P150" s="1"/>
      <c r="Q150" s="1"/>
      <c r="R150" s="1"/>
      <c r="S150" s="1"/>
      <c r="T150" s="1"/>
      <c r="U150" s="1"/>
    </row>
    <row r="151" spans="2:44" x14ac:dyDescent="0.2">
      <c r="B151"/>
      <c r="C151"/>
      <c r="D151"/>
      <c r="E151" s="516"/>
      <c r="F151" s="515"/>
      <c r="G151" s="515"/>
      <c r="H151" s="515"/>
      <c r="L151" s="1" t="s">
        <v>394</v>
      </c>
      <c r="M151" s="1"/>
      <c r="N151" s="1"/>
      <c r="O151" s="1"/>
      <c r="P151" s="1"/>
      <c r="Q151" s="1"/>
      <c r="R151" s="1"/>
      <c r="S151" s="1"/>
      <c r="T151" s="1"/>
      <c r="U151" s="1"/>
    </row>
    <row r="152" spans="2:44" x14ac:dyDescent="0.2">
      <c r="H152" s="515"/>
      <c r="L152" s="1"/>
      <c r="M152" s="1"/>
      <c r="N152" s="1"/>
      <c r="O152" s="1"/>
      <c r="P152" s="1"/>
      <c r="Q152" s="1"/>
      <c r="R152" s="1"/>
      <c r="S152" s="1"/>
      <c r="T152" s="1"/>
      <c r="U152" s="1"/>
    </row>
    <row r="153" spans="2:44" ht="15.75" x14ac:dyDescent="0.25">
      <c r="B153" s="551" t="s">
        <v>897</v>
      </c>
      <c r="C153" s="552"/>
      <c r="G153" s="551" t="s">
        <v>897</v>
      </c>
      <c r="H153" s="552"/>
      <c r="L153" s="1" t="s">
        <v>793</v>
      </c>
      <c r="M153" s="1"/>
      <c r="N153" s="1"/>
      <c r="O153" s="1"/>
      <c r="P153" s="1"/>
      <c r="Q153" s="1"/>
      <c r="R153" s="1"/>
      <c r="S153" s="1"/>
      <c r="T153" s="1"/>
      <c r="U153" s="1"/>
    </row>
    <row r="154" spans="2:44" ht="15.75" x14ac:dyDescent="0.25">
      <c r="B154" s="553" t="s">
        <v>400</v>
      </c>
      <c r="C154" s="555"/>
      <c r="D154" s="554" t="s">
        <v>993</v>
      </c>
      <c r="E154" s="554" t="s">
        <v>904</v>
      </c>
      <c r="G154" s="553" t="s">
        <v>393</v>
      </c>
      <c r="H154" s="555"/>
      <c r="I154" s="554" t="s">
        <v>993</v>
      </c>
      <c r="J154" s="554" t="s">
        <v>904</v>
      </c>
      <c r="L154" s="1" t="s">
        <v>798</v>
      </c>
      <c r="M154" s="1"/>
      <c r="N154" s="1"/>
      <c r="O154" s="1"/>
      <c r="P154" s="1"/>
      <c r="Q154" s="1"/>
      <c r="R154" s="1"/>
      <c r="S154" s="1"/>
      <c r="T154" s="1"/>
    </row>
    <row r="155" spans="2:44" ht="15.75" x14ac:dyDescent="0.25">
      <c r="B155" s="454" t="s">
        <v>898</v>
      </c>
      <c r="C155" s="519"/>
      <c r="D155" s="455">
        <f>L60</f>
        <v>0</v>
      </c>
      <c r="E155" s="455">
        <f>D155/$D$8</f>
        <v>0</v>
      </c>
      <c r="F155" s="515"/>
      <c r="G155" s="456" t="s">
        <v>898</v>
      </c>
      <c r="H155" s="456"/>
      <c r="I155" s="457">
        <f t="shared" ref="I155:J160" si="92">D155</f>
        <v>0</v>
      </c>
      <c r="J155" s="457">
        <f t="shared" si="92"/>
        <v>0</v>
      </c>
      <c r="L155" s="1" t="s">
        <v>799</v>
      </c>
      <c r="M155" s="1"/>
      <c r="N155" s="1"/>
      <c r="O155" s="1"/>
      <c r="P155" s="1"/>
      <c r="Q155" s="1"/>
      <c r="R155" s="1"/>
      <c r="S155" s="1"/>
      <c r="T155" s="1"/>
    </row>
    <row r="156" spans="2:44" ht="15.75" x14ac:dyDescent="0.25">
      <c r="B156" s="458" t="s">
        <v>797</v>
      </c>
      <c r="C156" s="459"/>
      <c r="D156" s="460">
        <f>H22</f>
        <v>0</v>
      </c>
      <c r="E156" s="460">
        <f t="shared" ref="E156:E162" si="93">D156/$D$8</f>
        <v>0</v>
      </c>
      <c r="F156" s="515"/>
      <c r="G156" s="458" t="s">
        <v>797</v>
      </c>
      <c r="H156" s="458"/>
      <c r="I156" s="460">
        <f t="shared" si="92"/>
        <v>0</v>
      </c>
      <c r="J156" s="461">
        <f t="shared" si="92"/>
        <v>0</v>
      </c>
      <c r="L156" s="520"/>
    </row>
    <row r="157" spans="2:44" ht="15.75" x14ac:dyDescent="0.25">
      <c r="B157" s="462" t="s">
        <v>399</v>
      </c>
      <c r="C157" s="463"/>
      <c r="D157" s="464">
        <f>H35+J35+L35</f>
        <v>0</v>
      </c>
      <c r="E157" s="464">
        <f t="shared" si="93"/>
        <v>0</v>
      </c>
      <c r="F157" s="515"/>
      <c r="G157" s="462" t="s">
        <v>899</v>
      </c>
      <c r="H157" s="462"/>
      <c r="I157" s="465">
        <f t="shared" si="92"/>
        <v>0</v>
      </c>
      <c r="J157" s="466">
        <f t="shared" si="92"/>
        <v>0</v>
      </c>
      <c r="M157" s="520"/>
    </row>
    <row r="158" spans="2:44" ht="15.75" x14ac:dyDescent="0.25">
      <c r="B158" s="467" t="s">
        <v>880</v>
      </c>
      <c r="C158" s="463"/>
      <c r="D158" s="464">
        <f>L75</f>
        <v>0</v>
      </c>
      <c r="E158" s="464">
        <f t="shared" si="93"/>
        <v>0</v>
      </c>
      <c r="F158" s="515"/>
      <c r="G158" s="467" t="s">
        <v>880</v>
      </c>
      <c r="H158" s="467"/>
      <c r="I158" s="465">
        <f t="shared" si="92"/>
        <v>0</v>
      </c>
      <c r="J158" s="466">
        <f t="shared" si="92"/>
        <v>0</v>
      </c>
    </row>
    <row r="159" spans="2:44" ht="15.75" x14ac:dyDescent="0.25">
      <c r="B159" s="467" t="s">
        <v>881</v>
      </c>
      <c r="C159" s="463"/>
      <c r="D159" s="464">
        <f>M47</f>
        <v>0</v>
      </c>
      <c r="E159" s="464">
        <f t="shared" si="93"/>
        <v>0</v>
      </c>
      <c r="G159" s="467" t="s">
        <v>881</v>
      </c>
      <c r="H159" s="467"/>
      <c r="I159" s="465">
        <f t="shared" si="92"/>
        <v>0</v>
      </c>
      <c r="J159" s="466">
        <f t="shared" si="92"/>
        <v>0</v>
      </c>
    </row>
    <row r="160" spans="2:44" ht="15.75" x14ac:dyDescent="0.25">
      <c r="B160" s="467" t="s">
        <v>872</v>
      </c>
      <c r="C160" s="463"/>
      <c r="D160" s="464">
        <f>D75+H75</f>
        <v>0</v>
      </c>
      <c r="E160" s="464">
        <f t="shared" si="93"/>
        <v>0</v>
      </c>
      <c r="F160" s="515"/>
      <c r="G160" s="467" t="s">
        <v>872</v>
      </c>
      <c r="H160" s="467"/>
      <c r="I160" s="465">
        <f t="shared" si="92"/>
        <v>0</v>
      </c>
      <c r="J160" s="466">
        <f t="shared" si="92"/>
        <v>0</v>
      </c>
    </row>
    <row r="161" spans="2:13" ht="15.75" x14ac:dyDescent="0.25">
      <c r="B161" s="468" t="s">
        <v>755</v>
      </c>
      <c r="C161" s="469"/>
      <c r="D161" s="470">
        <f>I148</f>
        <v>0</v>
      </c>
      <c r="E161" s="470">
        <f t="shared" si="93"/>
        <v>0</v>
      </c>
      <c r="F161" s="515"/>
      <c r="G161" s="468" t="s">
        <v>754</v>
      </c>
      <c r="H161" s="468"/>
      <c r="I161" s="465">
        <f>AF148</f>
        <v>0</v>
      </c>
      <c r="J161" s="466">
        <f>I161/$D$8</f>
        <v>0</v>
      </c>
    </row>
    <row r="162" spans="2:13" ht="15.75" x14ac:dyDescent="0.25">
      <c r="B162" s="471" t="s">
        <v>900</v>
      </c>
      <c r="C162" s="521"/>
      <c r="D162" s="472">
        <f>SUM(D156:D161)</f>
        <v>0</v>
      </c>
      <c r="E162" s="472">
        <f t="shared" si="93"/>
        <v>0</v>
      </c>
      <c r="F162" s="515"/>
      <c r="G162" s="471" t="s">
        <v>900</v>
      </c>
      <c r="H162" s="471"/>
      <c r="I162" s="472">
        <f>SUM(I156:I161)</f>
        <v>0</v>
      </c>
      <c r="J162" s="472">
        <f>I162/D8</f>
        <v>0</v>
      </c>
    </row>
    <row r="163" spans="2:13" x14ac:dyDescent="0.2">
      <c r="B163" s="427"/>
      <c r="C163" s="427"/>
      <c r="D163" s="427"/>
      <c r="E163" s="427"/>
      <c r="G163" s="427"/>
      <c r="H163" s="427"/>
      <c r="I163" s="427"/>
      <c r="J163" s="427"/>
    </row>
    <row r="164" spans="2:13" ht="15.75" x14ac:dyDescent="0.25">
      <c r="B164" s="473" t="s">
        <v>901</v>
      </c>
      <c r="C164" s="522"/>
      <c r="D164" s="474">
        <f>D155-D162</f>
        <v>0</v>
      </c>
      <c r="E164" s="474">
        <f>D164/D8</f>
        <v>0</v>
      </c>
      <c r="G164" s="473" t="s">
        <v>901</v>
      </c>
      <c r="H164" s="473"/>
      <c r="I164" s="474">
        <f>I155-I162</f>
        <v>0</v>
      </c>
      <c r="J164" s="474">
        <f>I164/$D$8</f>
        <v>0</v>
      </c>
      <c r="K164" s="523"/>
    </row>
    <row r="165" spans="2:13" ht="15.75" x14ac:dyDescent="0.25">
      <c r="B165" s="473" t="s">
        <v>737</v>
      </c>
      <c r="C165" s="475"/>
      <c r="D165" s="474">
        <f>H88</f>
        <v>0</v>
      </c>
      <c r="E165" s="474">
        <f>D165/D8</f>
        <v>0</v>
      </c>
      <c r="F165" s="515"/>
      <c r="G165" s="473" t="s">
        <v>737</v>
      </c>
      <c r="H165" s="475"/>
      <c r="I165" s="474">
        <f>H88</f>
        <v>0</v>
      </c>
      <c r="J165" s="515"/>
    </row>
    <row r="166" spans="2:13" ht="15.75" x14ac:dyDescent="0.25">
      <c r="B166" s="473" t="s">
        <v>675</v>
      </c>
      <c r="C166" s="522"/>
      <c r="D166" s="474">
        <f>D164-D165</f>
        <v>0</v>
      </c>
      <c r="E166" s="474">
        <f>D166/$D$8</f>
        <v>0</v>
      </c>
      <c r="F166" s="515"/>
      <c r="G166" s="473" t="s">
        <v>902</v>
      </c>
      <c r="H166" s="473"/>
      <c r="I166" s="474">
        <f>I164-I165</f>
        <v>0</v>
      </c>
      <c r="J166" s="474">
        <f>I166/$D$8</f>
        <v>0</v>
      </c>
    </row>
    <row r="167" spans="2:13" ht="15.75" x14ac:dyDescent="0.25">
      <c r="B167" s="473" t="s">
        <v>739</v>
      </c>
      <c r="C167" s="522"/>
      <c r="D167" s="522"/>
      <c r="E167" s="476">
        <f>(E60-F22)/$D$8</f>
        <v>0</v>
      </c>
      <c r="F167" s="515"/>
      <c r="J167" s="515"/>
    </row>
    <row r="168" spans="2:13" x14ac:dyDescent="0.2">
      <c r="F168" s="515"/>
      <c r="J168" s="524"/>
    </row>
    <row r="169" spans="2:13" x14ac:dyDescent="0.2">
      <c r="F169" s="515"/>
      <c r="I169" s="515"/>
      <c r="J169" s="515"/>
    </row>
    <row r="170" spans="2:13" x14ac:dyDescent="0.2">
      <c r="B170" s="1"/>
      <c r="C170" s="1"/>
      <c r="D170" s="1"/>
      <c r="E170" s="524"/>
      <c r="F170" s="515"/>
      <c r="G170" s="1"/>
      <c r="H170" s="1"/>
      <c r="I170" s="1"/>
      <c r="J170" s="524"/>
    </row>
    <row r="171" spans="2:13" x14ac:dyDescent="0.2">
      <c r="G171" s="1"/>
      <c r="H171" s="1"/>
      <c r="I171" s="1"/>
      <c r="J171" s="515"/>
    </row>
    <row r="172" spans="2:13" ht="15.75" thickBot="1" x14ac:dyDescent="0.25">
      <c r="B172" s="1"/>
      <c r="C172" s="1"/>
      <c r="D172" s="1"/>
      <c r="E172" s="524"/>
      <c r="G172" s="1"/>
      <c r="H172" s="1"/>
      <c r="I172" s="1"/>
      <c r="J172" s="524"/>
    </row>
    <row r="173" spans="2:13" ht="16.5" thickBot="1" x14ac:dyDescent="0.3">
      <c r="B173" s="1"/>
      <c r="C173" s="525" t="s">
        <v>667</v>
      </c>
      <c r="D173" s="526" t="s">
        <v>668</v>
      </c>
      <c r="E173" s="1"/>
      <c r="G173" s="527"/>
      <c r="H173" s="528" t="s">
        <v>760</v>
      </c>
      <c r="I173" s="529"/>
      <c r="J173" s="530"/>
      <c r="K173" s="528" t="s">
        <v>761</v>
      </c>
      <c r="L173" s="529"/>
      <c r="M173" s="530"/>
    </row>
    <row r="174" spans="2:13" ht="15.75" x14ac:dyDescent="0.2">
      <c r="B174" s="1"/>
      <c r="C174" s="74" t="s">
        <v>661</v>
      </c>
      <c r="D174" s="495">
        <f>H100</f>
        <v>0</v>
      </c>
      <c r="E174" s="1"/>
      <c r="G174" s="531"/>
      <c r="H174" s="532" t="s">
        <v>762</v>
      </c>
      <c r="I174" s="532" t="s">
        <v>763</v>
      </c>
      <c r="J174" s="532" t="s">
        <v>764</v>
      </c>
      <c r="K174" s="532" t="s">
        <v>765</v>
      </c>
      <c r="L174" s="532" t="s">
        <v>766</v>
      </c>
      <c r="M174" s="532" t="s">
        <v>767</v>
      </c>
    </row>
    <row r="175" spans="2:13" ht="16.5" thickBot="1" x14ac:dyDescent="0.25">
      <c r="C175" s="74" t="s">
        <v>669</v>
      </c>
      <c r="D175" s="435">
        <v>3650</v>
      </c>
      <c r="E175" s="1" t="s">
        <v>803</v>
      </c>
      <c r="G175" s="533" t="s">
        <v>768</v>
      </c>
      <c r="H175" s="534">
        <v>1000</v>
      </c>
      <c r="I175" s="534">
        <v>1000</v>
      </c>
      <c r="J175" s="534">
        <v>1000</v>
      </c>
      <c r="K175" s="534">
        <v>1000</v>
      </c>
      <c r="L175" s="534">
        <v>1000</v>
      </c>
      <c r="M175" s="534">
        <v>1000</v>
      </c>
    </row>
    <row r="176" spans="2:13" ht="16.5" thickBot="1" x14ac:dyDescent="0.25">
      <c r="C176" s="74" t="s">
        <v>670</v>
      </c>
      <c r="D176" s="409">
        <f>D175*D174</f>
        <v>0</v>
      </c>
      <c r="E176" s="1" t="s">
        <v>666</v>
      </c>
      <c r="G176" s="535" t="s">
        <v>769</v>
      </c>
      <c r="H176" s="536">
        <v>0.4</v>
      </c>
      <c r="I176" s="537">
        <v>0.3</v>
      </c>
      <c r="J176" s="538">
        <v>0.4</v>
      </c>
      <c r="K176" s="539">
        <v>0.3</v>
      </c>
      <c r="L176" s="538">
        <v>0.3</v>
      </c>
      <c r="M176" s="540">
        <v>0.3</v>
      </c>
    </row>
    <row r="177" spans="2:14" x14ac:dyDescent="0.2">
      <c r="B177" s="1"/>
      <c r="C177" s="541" t="s">
        <v>671</v>
      </c>
      <c r="D177" s="452">
        <v>0.4</v>
      </c>
      <c r="E177" s="1"/>
      <c r="G177" s="1"/>
      <c r="H177" s="1"/>
      <c r="I177" s="1"/>
      <c r="J177" s="1"/>
      <c r="K177" s="1"/>
      <c r="L177" s="1"/>
      <c r="M177" s="1"/>
    </row>
    <row r="178" spans="2:14" x14ac:dyDescent="0.2">
      <c r="B178" s="1"/>
      <c r="C178" s="541" t="s">
        <v>662</v>
      </c>
      <c r="D178" s="409">
        <f>D176*1/D177</f>
        <v>0</v>
      </c>
      <c r="E178" s="1" t="s">
        <v>666</v>
      </c>
      <c r="N178" s="1"/>
    </row>
    <row r="179" spans="2:14" x14ac:dyDescent="0.2">
      <c r="B179" s="1"/>
      <c r="C179" s="74" t="s">
        <v>672</v>
      </c>
      <c r="D179" s="409">
        <f>D8</f>
        <v>100</v>
      </c>
      <c r="E179" s="1" t="s">
        <v>1000</v>
      </c>
      <c r="N179" s="1"/>
    </row>
    <row r="180" spans="2:14" x14ac:dyDescent="0.2">
      <c r="B180" s="1"/>
      <c r="C180" s="74" t="s">
        <v>663</v>
      </c>
      <c r="D180" s="409">
        <f>D178/D179</f>
        <v>0</v>
      </c>
      <c r="E180" s="1" t="s">
        <v>802</v>
      </c>
      <c r="N180" s="1"/>
    </row>
    <row r="181" spans="2:14" x14ac:dyDescent="0.2">
      <c r="B181" s="1"/>
      <c r="C181" s="74" t="s">
        <v>664</v>
      </c>
      <c r="D181" s="435">
        <v>1000</v>
      </c>
      <c r="E181" s="1" t="s">
        <v>802</v>
      </c>
      <c r="N181" s="1"/>
    </row>
    <row r="182" spans="2:14" x14ac:dyDescent="0.2">
      <c r="B182" s="1"/>
      <c r="C182" s="74" t="s">
        <v>665</v>
      </c>
      <c r="D182" s="409">
        <f>D181+D180</f>
        <v>1000</v>
      </c>
      <c r="E182" s="1" t="s">
        <v>802</v>
      </c>
      <c r="N182" s="1"/>
    </row>
    <row r="183" spans="2:14" x14ac:dyDescent="0.2">
      <c r="B183" s="1"/>
      <c r="C183" s="542"/>
      <c r="D183" s="543"/>
      <c r="E183" s="1"/>
      <c r="N183" s="1"/>
    </row>
    <row r="184" spans="2:14" x14ac:dyDescent="0.2">
      <c r="B184" s="1"/>
      <c r="C184" s="1"/>
      <c r="D184" s="1"/>
      <c r="E184" s="1"/>
      <c r="F184" s="1"/>
      <c r="G184" s="1"/>
      <c r="H184" s="1"/>
      <c r="I184" s="1"/>
      <c r="J184" s="1"/>
      <c r="K184" s="1"/>
      <c r="L184" s="1"/>
      <c r="M184" s="1"/>
      <c r="N184" s="1"/>
    </row>
    <row r="185" spans="2:14" x14ac:dyDescent="0.2">
      <c r="B185" s="1"/>
      <c r="C185" s="1"/>
      <c r="D185" s="1"/>
      <c r="E185" s="1"/>
      <c r="F185" s="1"/>
      <c r="G185" s="1"/>
      <c r="H185" s="1"/>
      <c r="I185" s="1"/>
      <c r="J185" s="1"/>
      <c r="K185" s="1"/>
      <c r="L185" s="1"/>
      <c r="M185" s="1"/>
      <c r="N185" s="1"/>
    </row>
    <row r="186" spans="2:14" x14ac:dyDescent="0.2">
      <c r="B186" s="1"/>
      <c r="C186" s="1"/>
      <c r="D186" s="1"/>
      <c r="E186" s="1"/>
      <c r="F186" s="1"/>
      <c r="G186" s="1"/>
      <c r="H186" s="1"/>
      <c r="I186" s="1"/>
      <c r="J186" s="1"/>
      <c r="K186" s="1"/>
      <c r="L186" s="1"/>
      <c r="M186" s="1"/>
      <c r="N186" s="1"/>
    </row>
    <row r="187" spans="2:14" x14ac:dyDescent="0.2">
      <c r="B187" s="1"/>
      <c r="C187" s="1"/>
      <c r="D187" s="1"/>
      <c r="E187" s="1"/>
      <c r="F187" s="1"/>
      <c r="G187" s="1"/>
      <c r="H187" s="1"/>
      <c r="I187" s="1"/>
      <c r="J187" s="1"/>
      <c r="K187" s="1"/>
      <c r="L187" s="1"/>
      <c r="M187" s="1"/>
      <c r="N187" s="1"/>
    </row>
    <row r="188" spans="2:14" x14ac:dyDescent="0.2">
      <c r="B188" s="1"/>
      <c r="C188" s="1"/>
      <c r="D188" s="1"/>
      <c r="E188" s="1"/>
      <c r="F188" s="1"/>
      <c r="G188" s="1"/>
      <c r="H188" s="1"/>
      <c r="I188" s="1"/>
      <c r="J188" s="1"/>
      <c r="K188" s="1"/>
      <c r="L188" s="1"/>
      <c r="M188" s="1"/>
      <c r="N188" s="1"/>
    </row>
    <row r="189" spans="2:14" x14ac:dyDescent="0.2">
      <c r="B189" s="1"/>
      <c r="C189" s="1"/>
      <c r="D189" s="1"/>
      <c r="E189" s="1"/>
      <c r="F189" s="1"/>
      <c r="G189" s="1"/>
      <c r="H189" s="1"/>
      <c r="I189" s="1"/>
      <c r="J189" s="1"/>
      <c r="K189" s="1"/>
      <c r="L189" s="1"/>
      <c r="M189" s="1"/>
      <c r="N189" s="1"/>
    </row>
    <row r="190" spans="2:14" x14ac:dyDescent="0.2">
      <c r="B190" s="1"/>
      <c r="C190" s="1"/>
      <c r="D190" s="1"/>
      <c r="E190" s="1"/>
      <c r="F190" s="1"/>
      <c r="G190" s="1"/>
      <c r="H190" s="1"/>
      <c r="I190" s="1"/>
      <c r="J190" s="1"/>
      <c r="K190" s="1"/>
      <c r="L190" s="1"/>
      <c r="M190" s="1"/>
      <c r="N190" s="1"/>
    </row>
    <row r="191" spans="2:14" x14ac:dyDescent="0.2">
      <c r="B191" s="1"/>
      <c r="C191" s="1"/>
      <c r="D191" s="1"/>
      <c r="E191" s="1"/>
      <c r="F191" s="1"/>
      <c r="G191" s="1"/>
      <c r="H191" s="1"/>
      <c r="I191" s="1"/>
      <c r="J191" s="1"/>
      <c r="K191" s="1"/>
      <c r="L191" s="1"/>
      <c r="M191" s="1"/>
      <c r="N191" s="1"/>
    </row>
    <row r="192" spans="2:14" x14ac:dyDescent="0.2">
      <c r="B192" s="1"/>
      <c r="C192" s="1"/>
      <c r="D192" s="1"/>
      <c r="E192" s="1"/>
      <c r="F192" s="1"/>
      <c r="G192" s="1"/>
      <c r="H192" s="1"/>
      <c r="I192" s="1"/>
      <c r="J192" s="1"/>
      <c r="K192" s="1"/>
    </row>
    <row r="193" spans="2:11" x14ac:dyDescent="0.2">
      <c r="B193" s="1"/>
      <c r="C193" s="1"/>
      <c r="D193" s="1"/>
      <c r="E193" s="1"/>
      <c r="F193" s="1"/>
      <c r="G193" s="1"/>
      <c r="H193" s="1"/>
      <c r="I193" s="1"/>
      <c r="J193" s="1"/>
      <c r="K193" s="1"/>
    </row>
    <row r="194" spans="2:11" x14ac:dyDescent="0.2">
      <c r="C194" s="1"/>
      <c r="D194" s="1"/>
      <c r="E194" s="1"/>
      <c r="F194" s="1"/>
      <c r="G194" s="1"/>
      <c r="H194" s="1"/>
      <c r="I194" s="1"/>
      <c r="J194" s="1"/>
      <c r="K194" s="1"/>
    </row>
    <row r="195" spans="2:11" x14ac:dyDescent="0.2">
      <c r="E195" s="1"/>
      <c r="F195" s="1"/>
      <c r="G195" s="1"/>
      <c r="H195" s="1"/>
      <c r="I195" s="1"/>
      <c r="J195" s="1"/>
      <c r="K195" s="1"/>
    </row>
    <row r="196" spans="2:11" x14ac:dyDescent="0.2">
      <c r="E196" s="1"/>
      <c r="F196" s="1"/>
      <c r="G196" s="1"/>
      <c r="H196" s="1"/>
      <c r="I196" s="1"/>
      <c r="J196" s="1"/>
      <c r="K196" s="1"/>
    </row>
    <row r="197" spans="2:11" x14ac:dyDescent="0.2">
      <c r="E197" s="1"/>
      <c r="F197" s="1"/>
      <c r="G197" s="1"/>
      <c r="H197" s="1"/>
      <c r="I197" s="1"/>
      <c r="J197" s="1"/>
      <c r="K197" s="1"/>
    </row>
    <row r="198" spans="2:11" x14ac:dyDescent="0.2">
      <c r="E198" s="1"/>
      <c r="F198" s="1"/>
      <c r="G198" s="1"/>
      <c r="H198" s="1"/>
      <c r="I198" s="1"/>
      <c r="J198" s="1"/>
      <c r="K198" s="1"/>
    </row>
    <row r="199" spans="2:11" x14ac:dyDescent="0.2">
      <c r="E199" s="1"/>
      <c r="F199" s="1"/>
      <c r="G199" s="1"/>
      <c r="H199" s="1"/>
      <c r="I199" s="1"/>
      <c r="J199" s="1"/>
      <c r="K199" s="1"/>
    </row>
    <row r="200" spans="2:11" x14ac:dyDescent="0.2">
      <c r="E200" s="1"/>
      <c r="F200" s="1"/>
      <c r="G200" s="1"/>
      <c r="H200" s="1"/>
      <c r="I200" s="1"/>
      <c r="J200" s="1"/>
      <c r="K200" s="1"/>
    </row>
    <row r="201" spans="2:11" x14ac:dyDescent="0.2">
      <c r="E201" s="1"/>
      <c r="F201" s="1"/>
      <c r="G201" s="1"/>
      <c r="H201" s="1"/>
      <c r="I201" s="1"/>
      <c r="J201" s="1"/>
      <c r="K201" s="1"/>
    </row>
    <row r="202" spans="2:11" x14ac:dyDescent="0.2">
      <c r="E202" s="1"/>
      <c r="F202" s="1"/>
      <c r="G202" s="1"/>
      <c r="H202" s="1"/>
      <c r="I202" s="1"/>
      <c r="J202" s="1"/>
      <c r="K202" s="1"/>
    </row>
    <row r="203" spans="2:11" x14ac:dyDescent="0.2">
      <c r="E203" s="1"/>
      <c r="F203" s="1"/>
      <c r="G203" s="1"/>
      <c r="H203" s="1"/>
      <c r="I203" s="1"/>
      <c r="J203" s="1"/>
      <c r="K203" s="1"/>
    </row>
    <row r="204" spans="2:11" x14ac:dyDescent="0.2">
      <c r="E204" s="1"/>
      <c r="F204" s="1"/>
      <c r="G204" s="1"/>
      <c r="H204" s="1"/>
      <c r="I204" s="1"/>
      <c r="J204" s="1"/>
      <c r="K204" s="1"/>
    </row>
    <row r="205" spans="2:11" x14ac:dyDescent="0.2">
      <c r="B205" s="1"/>
      <c r="C205" s="1"/>
      <c r="D205" s="1"/>
      <c r="E205" s="1"/>
      <c r="F205" s="1"/>
      <c r="G205" s="1"/>
      <c r="H205" s="1"/>
      <c r="I205" s="1"/>
      <c r="J205" s="1"/>
      <c r="K205" s="1"/>
    </row>
    <row r="206" spans="2:11" x14ac:dyDescent="0.2">
      <c r="B206" s="1"/>
      <c r="C206" s="1"/>
      <c r="D206" s="1"/>
      <c r="E206" s="1"/>
      <c r="F206" s="1"/>
      <c r="G206" s="1"/>
      <c r="H206" s="1"/>
      <c r="I206" s="1"/>
      <c r="J206" s="1"/>
      <c r="K206" s="1"/>
    </row>
    <row r="207" spans="2:11" x14ac:dyDescent="0.2">
      <c r="B207" s="1"/>
      <c r="C207" s="1"/>
      <c r="D207" s="1"/>
      <c r="E207" s="1"/>
      <c r="F207" s="1"/>
      <c r="G207" s="1"/>
      <c r="H207" s="1"/>
      <c r="I207" s="1"/>
      <c r="J207" s="1"/>
      <c r="K207" s="1"/>
    </row>
    <row r="208" spans="2:11" x14ac:dyDescent="0.2">
      <c r="B208" s="1"/>
      <c r="C208" s="1"/>
      <c r="D208" s="1"/>
      <c r="E208" s="1"/>
      <c r="F208" s="1"/>
      <c r="G208" s="1"/>
      <c r="H208" s="1"/>
      <c r="I208" s="1"/>
      <c r="J208" s="1"/>
      <c r="K208" s="1"/>
    </row>
    <row r="209" spans="2:11" x14ac:dyDescent="0.2">
      <c r="B209" s="1"/>
      <c r="C209" s="1"/>
      <c r="D209" s="1"/>
      <c r="E209" s="1"/>
      <c r="F209" s="1"/>
      <c r="G209" s="1"/>
      <c r="H209" s="1"/>
      <c r="I209" s="1"/>
      <c r="J209" s="1"/>
      <c r="K209" s="1"/>
    </row>
    <row r="210" spans="2:11" x14ac:dyDescent="0.2">
      <c r="B210" s="1"/>
      <c r="C210" s="1"/>
      <c r="D210" s="1"/>
      <c r="E210" s="1"/>
      <c r="F210" s="1"/>
      <c r="G210" s="1"/>
      <c r="H210" s="1"/>
      <c r="I210" s="1"/>
      <c r="J210" s="1"/>
      <c r="K210" s="1"/>
    </row>
    <row r="211" spans="2:11" x14ac:dyDescent="0.2">
      <c r="B211" s="1"/>
      <c r="C211" s="1"/>
      <c r="D211" s="1"/>
      <c r="E211" s="1"/>
      <c r="F211" s="1"/>
      <c r="G211" s="1"/>
      <c r="H211" s="1"/>
      <c r="I211" s="1"/>
      <c r="J211" s="1"/>
      <c r="K211" s="1"/>
    </row>
    <row r="212" spans="2:11" x14ac:dyDescent="0.2">
      <c r="B212" s="1"/>
      <c r="C212" s="1"/>
      <c r="D212" s="1"/>
      <c r="E212" s="1"/>
      <c r="F212" s="1"/>
      <c r="G212" s="1"/>
      <c r="H212" s="1"/>
      <c r="I212" s="1"/>
      <c r="J212" s="1"/>
      <c r="K212" s="1"/>
    </row>
    <row r="213" spans="2:11" x14ac:dyDescent="0.2">
      <c r="B213" s="1"/>
      <c r="C213" s="1"/>
      <c r="D213" s="1"/>
      <c r="E213" s="1"/>
      <c r="F213" s="1"/>
      <c r="G213" s="1"/>
      <c r="H213" s="1"/>
      <c r="I213" s="1"/>
      <c r="J213" s="1"/>
      <c r="K213" s="1"/>
    </row>
    <row r="214" spans="2:11" x14ac:dyDescent="0.2">
      <c r="B214" s="1"/>
      <c r="C214" s="1"/>
      <c r="D214" s="1"/>
      <c r="E214" s="1"/>
      <c r="F214" s="1"/>
      <c r="G214" s="1"/>
      <c r="H214" s="1"/>
      <c r="I214" s="1"/>
      <c r="J214" s="1"/>
      <c r="K214" s="1"/>
    </row>
    <row r="215" spans="2:11" x14ac:dyDescent="0.2">
      <c r="B215" s="1"/>
      <c r="C215" s="1"/>
      <c r="D215" s="1"/>
      <c r="E215" s="1"/>
      <c r="F215" s="1"/>
      <c r="G215" s="1"/>
      <c r="H215" s="1"/>
      <c r="I215" s="1"/>
      <c r="J215" s="1"/>
      <c r="K215" s="1"/>
    </row>
    <row r="216" spans="2:11" x14ac:dyDescent="0.2">
      <c r="B216" s="1"/>
      <c r="C216" s="1"/>
      <c r="D216" s="1"/>
      <c r="E216" s="1"/>
      <c r="F216" s="1"/>
      <c r="G216" s="1"/>
      <c r="H216" s="1"/>
      <c r="I216" s="1"/>
      <c r="J216" s="1"/>
      <c r="K216" s="1"/>
    </row>
    <row r="217" spans="2:11" x14ac:dyDescent="0.2">
      <c r="B217" s="1"/>
      <c r="C217" s="1"/>
      <c r="D217" s="1"/>
      <c r="E217" s="1"/>
      <c r="F217" s="1"/>
      <c r="G217" s="1"/>
      <c r="H217" s="1"/>
      <c r="I217" s="1"/>
      <c r="J217" s="1"/>
      <c r="K217" s="1"/>
    </row>
    <row r="218" spans="2:11" x14ac:dyDescent="0.2">
      <c r="B218" s="1"/>
      <c r="C218" s="1"/>
      <c r="D218" s="1"/>
      <c r="E218" s="1"/>
      <c r="F218" s="1"/>
      <c r="G218" s="1"/>
      <c r="H218" s="1"/>
      <c r="I218" s="1"/>
      <c r="J218" s="1"/>
      <c r="K218" s="1"/>
    </row>
    <row r="219" spans="2:11" x14ac:dyDescent="0.2">
      <c r="B219" s="1"/>
      <c r="C219" s="1"/>
      <c r="D219" s="1"/>
      <c r="E219" s="1"/>
      <c r="F219" s="1"/>
      <c r="G219" s="1"/>
      <c r="H219" s="1"/>
      <c r="I219" s="1"/>
      <c r="J219" s="1"/>
      <c r="K219" s="1"/>
    </row>
    <row r="220" spans="2:11" x14ac:dyDescent="0.2">
      <c r="B220" s="1"/>
      <c r="C220" s="1"/>
      <c r="D220" s="1"/>
      <c r="E220" s="1"/>
      <c r="F220" s="1"/>
      <c r="G220" s="1"/>
      <c r="H220" s="1"/>
      <c r="I220" s="1"/>
      <c r="J220" s="1"/>
      <c r="K220" s="1"/>
    </row>
    <row r="221" spans="2:11" x14ac:dyDescent="0.2">
      <c r="B221" s="1"/>
      <c r="C221" s="1"/>
      <c r="D221" s="1"/>
      <c r="E221" s="1"/>
      <c r="F221" s="1"/>
      <c r="G221" s="1"/>
      <c r="H221" s="1"/>
      <c r="I221" s="1"/>
      <c r="J221" s="1"/>
      <c r="K221" s="1"/>
    </row>
    <row r="222" spans="2:11" x14ac:dyDescent="0.2">
      <c r="B222" s="1"/>
      <c r="C222" s="1"/>
      <c r="D222" s="1"/>
      <c r="E222" s="1"/>
      <c r="F222" s="1"/>
      <c r="G222" s="1"/>
      <c r="H222" s="1"/>
      <c r="I222" s="1"/>
      <c r="J222" s="1"/>
      <c r="K222" s="1"/>
    </row>
    <row r="223" spans="2:11" x14ac:dyDescent="0.2">
      <c r="B223" s="1"/>
      <c r="C223" s="1"/>
      <c r="D223" s="1"/>
      <c r="E223" s="1"/>
      <c r="F223" s="1"/>
      <c r="G223" s="1"/>
      <c r="H223" s="1"/>
      <c r="I223" s="1"/>
      <c r="J223" s="1"/>
      <c r="K223" s="1"/>
    </row>
  </sheetData>
  <mergeCells count="13">
    <mergeCell ref="Q12:R12"/>
    <mergeCell ref="Q13:R13"/>
    <mergeCell ref="Q14:R14"/>
    <mergeCell ref="Q15:R15"/>
    <mergeCell ref="Q24:R24"/>
    <mergeCell ref="Q20:R20"/>
    <mergeCell ref="Q21:R21"/>
    <mergeCell ref="Q22:R22"/>
    <mergeCell ref="Q23:R23"/>
    <mergeCell ref="Q16:R16"/>
    <mergeCell ref="Q17:R17"/>
    <mergeCell ref="Q18:R18"/>
    <mergeCell ref="Q19:R19"/>
  </mergeCells>
  <phoneticPr fontId="15" type="noConversion"/>
  <pageMargins left="0.75" right="0.75" top="1" bottom="1" header="0.5" footer="0.5"/>
  <headerFooter alignWithMargins="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
  <sheetViews>
    <sheetView workbookViewId="0"/>
  </sheetViews>
  <sheetFormatPr defaultRowHeight="15" x14ac:dyDescent="0.2"/>
  <sheetData/>
  <phoneticPr fontId="0" type="noConversion"/>
  <pageMargins left="0.75" right="0.75" top="1" bottom="1" header="0.5" footer="0.5"/>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6">
    <pageSetUpPr fitToPage="1"/>
  </sheetPr>
  <dimension ref="A2:AR223"/>
  <sheetViews>
    <sheetView showGridLines="0" zoomScale="55" workbookViewId="0"/>
  </sheetViews>
  <sheetFormatPr defaultColWidth="8.77734375" defaultRowHeight="15" x14ac:dyDescent="0.2"/>
  <cols>
    <col min="1" max="1" width="14.6640625" style="419" customWidth="1"/>
    <col min="2" max="2" width="15.6640625" style="419" customWidth="1"/>
    <col min="3" max="3" width="31" style="419" customWidth="1"/>
    <col min="4" max="4" width="25.44140625" style="419" bestFit="1" customWidth="1"/>
    <col min="5" max="5" width="27.77734375" style="419" customWidth="1"/>
    <col min="6" max="6" width="30" style="419" customWidth="1"/>
    <col min="7" max="7" width="26.44140625" style="419" customWidth="1"/>
    <col min="8" max="8" width="26.6640625" style="419" customWidth="1"/>
    <col min="9" max="9" width="20.88671875" style="419" bestFit="1" customWidth="1"/>
    <col min="10" max="10" width="23.77734375" style="419" customWidth="1"/>
    <col min="11" max="11" width="21.77734375" style="419" customWidth="1"/>
    <col min="12" max="12" width="21.21875" style="419" customWidth="1"/>
    <col min="13" max="13" width="20.88671875" style="419" customWidth="1"/>
    <col min="14" max="17" width="16.109375" style="419" customWidth="1"/>
    <col min="18" max="18" width="21" style="419" customWidth="1"/>
    <col min="19" max="19" width="16.88671875" style="419" customWidth="1"/>
    <col min="20" max="20" width="19.109375" style="419" customWidth="1"/>
    <col min="21" max="21" width="18.6640625" style="419" customWidth="1"/>
    <col min="22" max="22" width="13.5546875" style="419" customWidth="1"/>
    <col min="23" max="23" width="13" style="419" customWidth="1"/>
    <col min="24" max="24" width="12.109375" style="419" customWidth="1"/>
    <col min="25" max="25" width="40.109375" style="419" bestFit="1" customWidth="1"/>
    <col min="26" max="26" width="25.33203125" style="419" bestFit="1" customWidth="1"/>
    <col min="27" max="27" width="15.88671875" style="422" bestFit="1" customWidth="1"/>
    <col min="28" max="28" width="14" style="422" customWidth="1"/>
    <col min="29" max="29" width="23.33203125" style="422" bestFit="1" customWidth="1"/>
    <col min="30" max="30" width="17.77734375" style="422" customWidth="1"/>
    <col min="31" max="31" width="12.109375" style="422" bestFit="1" customWidth="1"/>
    <col min="32" max="32" width="12.33203125" style="422" customWidth="1"/>
    <col min="33" max="34" width="8.77734375" style="419"/>
    <col min="35" max="35" width="38.109375" style="419" bestFit="1" customWidth="1"/>
    <col min="36" max="36" width="21.44140625" style="419" bestFit="1" customWidth="1"/>
    <col min="37" max="37" width="32.109375" style="419" customWidth="1"/>
    <col min="38" max="38" width="30.88671875" style="419" bestFit="1" customWidth="1"/>
    <col min="39" max="39" width="19" style="419" bestFit="1" customWidth="1"/>
    <col min="40" max="40" width="8.77734375" style="419"/>
    <col min="41" max="41" width="17.6640625" style="419" customWidth="1"/>
    <col min="42" max="42" width="12.109375" style="419" bestFit="1" customWidth="1"/>
    <col min="43" max="43" width="18.44140625" style="419" bestFit="1" customWidth="1"/>
    <col min="44" max="16384" width="8.77734375" style="419"/>
  </cols>
  <sheetData>
    <row r="2" spans="1:28" ht="20.25" x14ac:dyDescent="0.3">
      <c r="B2" s="545" t="s">
        <v>246</v>
      </c>
    </row>
    <row r="3" spans="1:28" ht="15.75" x14ac:dyDescent="0.25">
      <c r="A3" s="446"/>
    </row>
    <row r="4" spans="1:28" ht="13.5" customHeight="1" x14ac:dyDescent="0.25">
      <c r="A4" s="446"/>
    </row>
    <row r="5" spans="1:28" ht="15.75" x14ac:dyDescent="0.25">
      <c r="B5" s="446" t="s">
        <v>800</v>
      </c>
      <c r="C5" s="416" t="str">
        <f>'Gross margin summary'!M15</f>
        <v>GM10</v>
      </c>
      <c r="D5" s="417"/>
      <c r="E5" s="446"/>
    </row>
    <row r="7" spans="1:28" ht="18" customHeight="1" x14ac:dyDescent="0.2">
      <c r="A7" s="1"/>
      <c r="B7" s="1"/>
      <c r="C7" s="1"/>
      <c r="D7" s="1"/>
      <c r="E7" s="1"/>
      <c r="F7" s="1"/>
      <c r="G7" s="1"/>
      <c r="H7" s="1"/>
      <c r="I7" s="1"/>
      <c r="J7" s="1"/>
      <c r="K7" s="1"/>
      <c r="L7" s="1"/>
      <c r="M7" s="1"/>
      <c r="N7" s="1"/>
      <c r="O7" s="1"/>
      <c r="P7" s="1"/>
      <c r="Q7" s="1"/>
      <c r="R7" s="1"/>
      <c r="S7" s="1"/>
      <c r="T7" s="1"/>
      <c r="U7" s="1"/>
      <c r="V7" s="1"/>
      <c r="W7" s="1"/>
      <c r="X7" s="1"/>
      <c r="Y7" s="1"/>
      <c r="Z7" s="1"/>
      <c r="AA7" s="6"/>
    </row>
    <row r="8" spans="1:28" ht="18" customHeight="1" x14ac:dyDescent="0.2">
      <c r="A8" s="1"/>
      <c r="B8" s="1"/>
      <c r="C8" s="12" t="s">
        <v>689</v>
      </c>
      <c r="D8" s="546">
        <v>100</v>
      </c>
      <c r="E8" s="1" t="s">
        <v>1000</v>
      </c>
      <c r="L8" s="1"/>
      <c r="M8" s="1"/>
      <c r="O8" s="1"/>
      <c r="P8" s="1"/>
      <c r="Q8" s="1"/>
      <c r="R8" s="1"/>
      <c r="S8" s="1"/>
      <c r="T8" s="1"/>
      <c r="U8" s="1"/>
      <c r="V8" s="1"/>
      <c r="W8" s="1"/>
      <c r="X8" s="1"/>
      <c r="Y8" s="1"/>
      <c r="Z8" s="1"/>
      <c r="AA8" s="6"/>
    </row>
    <row r="9" spans="1:28" ht="18" customHeight="1" x14ac:dyDescent="0.2">
      <c r="A9" s="1"/>
      <c r="B9" s="1"/>
      <c r="C9" s="12" t="s">
        <v>373</v>
      </c>
      <c r="D9" s="546">
        <v>100</v>
      </c>
      <c r="E9" s="419" t="s">
        <v>1000</v>
      </c>
      <c r="F9" s="12"/>
      <c r="G9"/>
      <c r="H9"/>
      <c r="I9"/>
      <c r="J9"/>
      <c r="K9"/>
      <c r="L9" s="1"/>
      <c r="M9" s="1"/>
      <c r="O9" s="1"/>
      <c r="P9" s="1"/>
      <c r="Q9" s="443" t="s">
        <v>645</v>
      </c>
      <c r="R9" s="443"/>
      <c r="S9" s="443"/>
      <c r="T9" s="1"/>
      <c r="U9" s="1"/>
      <c r="V9" s="1"/>
      <c r="W9" s="1"/>
      <c r="X9" s="1"/>
      <c r="Y9" s="1"/>
      <c r="Z9" s="1"/>
      <c r="AA9" s="6"/>
    </row>
    <row r="10" spans="1:28" ht="18" customHeight="1" x14ac:dyDescent="0.2">
      <c r="A10" s="1"/>
      <c r="B10" s="1"/>
      <c r="C10" s="12" t="s">
        <v>690</v>
      </c>
      <c r="D10" s="421">
        <f>IF(D9&lt;=0,0,D9/D8)</f>
        <v>1</v>
      </c>
      <c r="F10" s="12"/>
      <c r="G10"/>
      <c r="H10"/>
      <c r="I10"/>
      <c r="J10"/>
      <c r="K10"/>
      <c r="L10" s="1"/>
      <c r="M10" s="1"/>
      <c r="O10" s="1"/>
      <c r="P10" s="1"/>
      <c r="Q10" s="1"/>
      <c r="R10" s="1"/>
      <c r="S10" s="1"/>
      <c r="T10" s="1"/>
      <c r="U10" s="1"/>
      <c r="V10" s="1"/>
      <c r="W10" s="1"/>
      <c r="X10" s="1"/>
      <c r="Y10" s="1"/>
      <c r="Z10" s="1"/>
      <c r="AA10" s="6"/>
    </row>
    <row r="11" spans="1:28" ht="18" customHeight="1" x14ac:dyDescent="0.25">
      <c r="A11" s="1"/>
      <c r="B11" s="1"/>
      <c r="C11" s="12"/>
      <c r="D11"/>
      <c r="E11" s="1"/>
      <c r="F11" s="12"/>
      <c r="G11"/>
      <c r="H11"/>
      <c r="I11"/>
      <c r="J11"/>
      <c r="K11"/>
      <c r="L11" s="1"/>
      <c r="M11" s="1"/>
      <c r="O11" s="1"/>
      <c r="P11" s="1"/>
      <c r="R11" s="544"/>
      <c r="S11" s="477" t="s">
        <v>698</v>
      </c>
      <c r="T11" s="477" t="s">
        <v>699</v>
      </c>
      <c r="U11" s="477" t="s">
        <v>700</v>
      </c>
      <c r="V11" s="477" t="s">
        <v>701</v>
      </c>
      <c r="W11" s="477" t="s">
        <v>702</v>
      </c>
      <c r="X11" s="477" t="s">
        <v>703</v>
      </c>
      <c r="Y11" s="1"/>
      <c r="Z11" s="424" t="s">
        <v>857</v>
      </c>
      <c r="AA11" s="425"/>
      <c r="AB11" s="6"/>
    </row>
    <row r="12" spans="1:28" ht="18" customHeight="1" x14ac:dyDescent="0.2">
      <c r="A12" s="1"/>
      <c r="B12" s="1"/>
      <c r="C12" s="1"/>
      <c r="D12" s="1"/>
      <c r="E12" s="1"/>
      <c r="F12" s="1"/>
      <c r="G12" s="1"/>
      <c r="H12" s="1"/>
      <c r="I12" s="1"/>
      <c r="J12" s="1"/>
      <c r="K12" s="1"/>
      <c r="L12" s="1"/>
      <c r="M12" s="423"/>
      <c r="N12" s="1"/>
      <c r="O12" s="1"/>
      <c r="P12" s="1"/>
      <c r="Q12" s="583" t="s">
        <v>646</v>
      </c>
      <c r="R12" s="584"/>
      <c r="S12" s="429">
        <f>F16</f>
        <v>0</v>
      </c>
      <c r="T12" s="429">
        <f>F17</f>
        <v>0</v>
      </c>
      <c r="U12" s="429">
        <f>F18</f>
        <v>0</v>
      </c>
      <c r="V12" s="429">
        <f>F19</f>
        <v>0</v>
      </c>
      <c r="W12" s="429">
        <f>F20</f>
        <v>0</v>
      </c>
      <c r="X12" s="429">
        <f>F21</f>
        <v>0</v>
      </c>
      <c r="Z12" s="427" t="s">
        <v>858</v>
      </c>
      <c r="AA12" s="427"/>
      <c r="AB12" s="6"/>
    </row>
    <row r="13" spans="1:28" ht="18" customHeight="1" x14ac:dyDescent="0.25">
      <c r="A13" s="1"/>
      <c r="B13" s="5" t="s">
        <v>691</v>
      </c>
      <c r="C13" s="1"/>
      <c r="D13" s="426" t="s">
        <v>376</v>
      </c>
      <c r="E13" s="426"/>
      <c r="F13" s="426"/>
      <c r="G13" s="426"/>
      <c r="H13" s="1"/>
      <c r="I13" s="1"/>
      <c r="J13" s="1"/>
      <c r="K13" s="1"/>
      <c r="L13" s="1"/>
      <c r="M13" s="1"/>
      <c r="N13" s="1"/>
      <c r="O13" s="1"/>
      <c r="P13" s="1"/>
      <c r="Q13" s="583" t="s">
        <v>647</v>
      </c>
      <c r="R13" s="584"/>
      <c r="S13" s="478">
        <v>0</v>
      </c>
      <c r="T13" s="478">
        <v>0</v>
      </c>
      <c r="U13" s="478">
        <v>0</v>
      </c>
      <c r="V13" s="478">
        <v>0</v>
      </c>
      <c r="W13" s="478">
        <v>0</v>
      </c>
      <c r="X13" s="478">
        <v>0</v>
      </c>
      <c r="Z13" s="428" t="s">
        <v>859</v>
      </c>
      <c r="AA13" s="419"/>
      <c r="AB13" s="6"/>
    </row>
    <row r="14" spans="1:28" ht="18" customHeight="1" x14ac:dyDescent="0.25">
      <c r="A14" s="1"/>
      <c r="B14" s="1"/>
      <c r="C14" s="1"/>
      <c r="D14" s="1"/>
      <c r="E14" s="1"/>
      <c r="F14" s="1"/>
      <c r="G14" s="1"/>
      <c r="H14" s="1"/>
      <c r="I14" s="1"/>
      <c r="J14" s="1"/>
      <c r="K14" s="1"/>
      <c r="L14" s="1"/>
      <c r="M14" s="1"/>
      <c r="N14" s="1"/>
      <c r="O14" s="1"/>
      <c r="P14" s="1"/>
      <c r="Q14" s="583" t="s">
        <v>648</v>
      </c>
      <c r="R14" s="584"/>
      <c r="S14" s="409">
        <f t="shared" ref="S14:X14" si="0">S12*(1-S13)</f>
        <v>0</v>
      </c>
      <c r="T14" s="409">
        <f t="shared" si="0"/>
        <v>0</v>
      </c>
      <c r="U14" s="409">
        <f t="shared" si="0"/>
        <v>0</v>
      </c>
      <c r="V14" s="409">
        <f t="shared" si="0"/>
        <v>0</v>
      </c>
      <c r="W14" s="409">
        <f t="shared" si="0"/>
        <v>0</v>
      </c>
      <c r="X14" s="409">
        <f t="shared" si="0"/>
        <v>0</v>
      </c>
      <c r="Z14" s="430" t="s">
        <v>492</v>
      </c>
      <c r="AA14" s="430" t="s">
        <v>493</v>
      </c>
      <c r="AB14" s="6"/>
    </row>
    <row r="15" spans="1:28" ht="30.75" x14ac:dyDescent="0.25">
      <c r="A15" s="1"/>
      <c r="B15" s="1"/>
      <c r="C15" s="407" t="s">
        <v>377</v>
      </c>
      <c r="D15" s="407" t="s">
        <v>692</v>
      </c>
      <c r="E15" s="407" t="s">
        <v>391</v>
      </c>
      <c r="F15" s="407" t="s">
        <v>693</v>
      </c>
      <c r="G15" s="407" t="s">
        <v>694</v>
      </c>
      <c r="H15" s="407" t="s">
        <v>695</v>
      </c>
      <c r="I15" s="407" t="s">
        <v>559</v>
      </c>
      <c r="J15" s="407" t="s">
        <v>560</v>
      </c>
      <c r="K15" s="407" t="s">
        <v>696</v>
      </c>
      <c r="L15" s="407" t="s">
        <v>697</v>
      </c>
      <c r="M15"/>
      <c r="N15"/>
      <c r="Q15" s="583" t="s">
        <v>682</v>
      </c>
      <c r="R15" s="584"/>
      <c r="S15" s="445"/>
      <c r="T15" s="445"/>
      <c r="U15" s="445"/>
      <c r="V15" s="445"/>
      <c r="W15" s="445"/>
      <c r="X15" s="445"/>
      <c r="Z15" s="434" t="s">
        <v>494</v>
      </c>
      <c r="AA15" s="434" t="s">
        <v>495</v>
      </c>
      <c r="AB15" s="6"/>
    </row>
    <row r="16" spans="1:28" ht="18" customHeight="1" x14ac:dyDescent="0.2">
      <c r="A16" s="1"/>
      <c r="B16" s="1" t="s">
        <v>698</v>
      </c>
      <c r="C16" s="431"/>
      <c r="D16" s="479"/>
      <c r="E16" s="480"/>
      <c r="F16" s="432"/>
      <c r="G16" s="433">
        <f t="shared" ref="G16:G21" si="1">F16*E16</f>
        <v>0</v>
      </c>
      <c r="H16" s="411">
        <f t="shared" ref="H16:H21" si="2">G16*D16</f>
        <v>0</v>
      </c>
      <c r="I16" s="413">
        <f t="shared" ref="I16:I21" si="3">D16/$D$8</f>
        <v>0</v>
      </c>
      <c r="J16" s="413">
        <f t="shared" ref="J16:J21" si="4">IF(D16&lt;=0,0,$D$8/D16)</f>
        <v>0</v>
      </c>
      <c r="K16" s="413">
        <f t="shared" ref="K16:K21" si="5">D16/$D$9</f>
        <v>0</v>
      </c>
      <c r="L16" s="413">
        <f t="shared" ref="L16:L21" si="6">IF(D16&lt;=0,0,$D$9/D16)</f>
        <v>0</v>
      </c>
      <c r="M16"/>
      <c r="N16"/>
      <c r="Q16" s="583" t="s">
        <v>683</v>
      </c>
      <c r="R16" s="584"/>
      <c r="S16" s="433">
        <f t="shared" ref="S16:X16" si="7">S15*S14</f>
        <v>0</v>
      </c>
      <c r="T16" s="433">
        <f t="shared" si="7"/>
        <v>0</v>
      </c>
      <c r="U16" s="433">
        <f t="shared" si="7"/>
        <v>0</v>
      </c>
      <c r="V16" s="433">
        <f t="shared" si="7"/>
        <v>0</v>
      </c>
      <c r="W16" s="433">
        <f t="shared" si="7"/>
        <v>0</v>
      </c>
      <c r="X16" s="433">
        <f t="shared" si="7"/>
        <v>0</v>
      </c>
      <c r="Z16" s="437">
        <v>250</v>
      </c>
      <c r="AA16" s="437">
        <v>38</v>
      </c>
      <c r="AB16" s="6"/>
    </row>
    <row r="17" spans="1:28" ht="18" customHeight="1" x14ac:dyDescent="0.2">
      <c r="A17" s="1"/>
      <c r="B17" s="1" t="s">
        <v>699</v>
      </c>
      <c r="C17" s="431"/>
      <c r="D17" s="435"/>
      <c r="E17" s="436"/>
      <c r="F17" s="432"/>
      <c r="G17" s="433">
        <f t="shared" si="1"/>
        <v>0</v>
      </c>
      <c r="H17" s="411">
        <f t="shared" si="2"/>
        <v>0</v>
      </c>
      <c r="I17" s="413">
        <f t="shared" si="3"/>
        <v>0</v>
      </c>
      <c r="J17" s="413">
        <f t="shared" si="4"/>
        <v>0</v>
      </c>
      <c r="K17" s="413">
        <f t="shared" si="5"/>
        <v>0</v>
      </c>
      <c r="L17" s="413">
        <f t="shared" si="6"/>
        <v>0</v>
      </c>
      <c r="M17"/>
      <c r="N17"/>
      <c r="Q17" s="583" t="s">
        <v>651</v>
      </c>
      <c r="R17" s="584"/>
      <c r="S17" s="478">
        <v>3.5000000000000003E-2</v>
      </c>
      <c r="T17" s="478"/>
      <c r="U17" s="478"/>
      <c r="V17" s="478"/>
      <c r="W17" s="478"/>
      <c r="X17" s="478"/>
      <c r="Z17" s="438">
        <v>300</v>
      </c>
      <c r="AA17" s="438">
        <v>34</v>
      </c>
      <c r="AB17" s="6"/>
    </row>
    <row r="18" spans="1:28" ht="18" customHeight="1" x14ac:dyDescent="0.2">
      <c r="A18" s="1"/>
      <c r="B18" s="1" t="s">
        <v>700</v>
      </c>
      <c r="C18" s="431"/>
      <c r="D18" s="435"/>
      <c r="E18" s="436"/>
      <c r="F18" s="432"/>
      <c r="G18" s="433">
        <f t="shared" si="1"/>
        <v>0</v>
      </c>
      <c r="H18" s="411">
        <f t="shared" si="2"/>
        <v>0</v>
      </c>
      <c r="I18" s="413">
        <f t="shared" si="3"/>
        <v>0</v>
      </c>
      <c r="J18" s="413">
        <f t="shared" si="4"/>
        <v>0</v>
      </c>
      <c r="K18" s="413">
        <f t="shared" si="5"/>
        <v>0</v>
      </c>
      <c r="L18" s="413">
        <f t="shared" si="6"/>
        <v>0</v>
      </c>
      <c r="Q18" s="583" t="s">
        <v>684</v>
      </c>
      <c r="R18" s="584"/>
      <c r="S18" s="433">
        <f t="shared" ref="S18:X18" si="8">S17*S16</f>
        <v>0</v>
      </c>
      <c r="T18" s="433">
        <f t="shared" si="8"/>
        <v>0</v>
      </c>
      <c r="U18" s="433">
        <f t="shared" si="8"/>
        <v>0</v>
      </c>
      <c r="V18" s="433">
        <f t="shared" si="8"/>
        <v>0</v>
      </c>
      <c r="W18" s="433">
        <f t="shared" si="8"/>
        <v>0</v>
      </c>
      <c r="X18" s="433">
        <f t="shared" si="8"/>
        <v>0</v>
      </c>
      <c r="Z18" s="438">
        <v>350</v>
      </c>
      <c r="AA18" s="438">
        <v>30</v>
      </c>
      <c r="AB18" s="6"/>
    </row>
    <row r="19" spans="1:28" ht="18" customHeight="1" x14ac:dyDescent="0.2">
      <c r="A19" s="1"/>
      <c r="B19" s="1" t="s">
        <v>701</v>
      </c>
      <c r="C19" s="431"/>
      <c r="D19" s="435"/>
      <c r="E19" s="436"/>
      <c r="F19" s="432"/>
      <c r="G19" s="433">
        <f t="shared" si="1"/>
        <v>0</v>
      </c>
      <c r="H19" s="411">
        <f t="shared" si="2"/>
        <v>0</v>
      </c>
      <c r="I19" s="413">
        <f t="shared" si="3"/>
        <v>0</v>
      </c>
      <c r="J19" s="413">
        <f t="shared" si="4"/>
        <v>0</v>
      </c>
      <c r="K19" s="413">
        <f t="shared" si="5"/>
        <v>0</v>
      </c>
      <c r="L19" s="413">
        <f t="shared" si="6"/>
        <v>0</v>
      </c>
      <c r="Q19" s="583" t="s">
        <v>653</v>
      </c>
      <c r="R19" s="584"/>
      <c r="S19" s="445"/>
      <c r="T19" s="445"/>
      <c r="U19" s="445"/>
      <c r="V19" s="445"/>
      <c r="W19" s="445"/>
      <c r="X19" s="445"/>
      <c r="Z19" s="438">
        <v>400</v>
      </c>
      <c r="AA19" s="438">
        <v>28</v>
      </c>
      <c r="AB19" s="6"/>
    </row>
    <row r="20" spans="1:28" ht="18" customHeight="1" x14ac:dyDescent="0.2">
      <c r="A20" s="1"/>
      <c r="B20" s="1" t="s">
        <v>702</v>
      </c>
      <c r="C20" s="431"/>
      <c r="D20" s="435"/>
      <c r="E20" s="436"/>
      <c r="F20" s="432"/>
      <c r="G20" s="433">
        <f t="shared" si="1"/>
        <v>0</v>
      </c>
      <c r="H20" s="411">
        <f t="shared" si="2"/>
        <v>0</v>
      </c>
      <c r="I20" s="413">
        <f t="shared" si="3"/>
        <v>0</v>
      </c>
      <c r="J20" s="413">
        <f t="shared" si="4"/>
        <v>0</v>
      </c>
      <c r="K20" s="413">
        <f t="shared" si="5"/>
        <v>0</v>
      </c>
      <c r="L20" s="413">
        <f t="shared" si="6"/>
        <v>0</v>
      </c>
      <c r="Q20" s="583" t="s">
        <v>685</v>
      </c>
      <c r="R20" s="584"/>
      <c r="S20" s="445"/>
      <c r="T20" s="445"/>
      <c r="U20" s="445"/>
      <c r="V20" s="445"/>
      <c r="W20" s="445"/>
      <c r="X20" s="445"/>
      <c r="Z20" s="438">
        <v>450</v>
      </c>
      <c r="AA20" s="438">
        <v>26</v>
      </c>
      <c r="AB20" s="6"/>
    </row>
    <row r="21" spans="1:28" ht="18" customHeight="1" x14ac:dyDescent="0.2">
      <c r="A21" s="1"/>
      <c r="B21" s="1" t="s">
        <v>703</v>
      </c>
      <c r="C21" s="431"/>
      <c r="D21" s="435"/>
      <c r="E21" s="436"/>
      <c r="F21" s="432"/>
      <c r="G21" s="433">
        <f t="shared" si="1"/>
        <v>0</v>
      </c>
      <c r="H21" s="411">
        <f t="shared" si="2"/>
        <v>0</v>
      </c>
      <c r="I21" s="413">
        <f t="shared" si="3"/>
        <v>0</v>
      </c>
      <c r="J21" s="413">
        <f t="shared" si="4"/>
        <v>0</v>
      </c>
      <c r="K21" s="413">
        <f t="shared" si="5"/>
        <v>0</v>
      </c>
      <c r="L21" s="413">
        <f t="shared" si="6"/>
        <v>0</v>
      </c>
      <c r="Q21" s="583" t="s">
        <v>655</v>
      </c>
      <c r="R21" s="584"/>
      <c r="S21" s="433">
        <f t="shared" ref="S21:X21" si="9">S16-S18-S19-S20</f>
        <v>0</v>
      </c>
      <c r="T21" s="433">
        <f t="shared" si="9"/>
        <v>0</v>
      </c>
      <c r="U21" s="433">
        <f t="shared" si="9"/>
        <v>0</v>
      </c>
      <c r="V21" s="433">
        <f t="shared" si="9"/>
        <v>0</v>
      </c>
      <c r="W21" s="433">
        <f t="shared" si="9"/>
        <v>0</v>
      </c>
      <c r="X21" s="433">
        <f t="shared" si="9"/>
        <v>0</v>
      </c>
      <c r="Z21" s="438">
        <v>500</v>
      </c>
      <c r="AA21" s="438">
        <v>24</v>
      </c>
      <c r="AB21" s="6"/>
    </row>
    <row r="22" spans="1:28" ht="18" customHeight="1" thickBot="1" x14ac:dyDescent="0.25">
      <c r="A22" s="1"/>
      <c r="B22" s="1"/>
      <c r="C22" s="1"/>
      <c r="D22" s="1"/>
      <c r="E22" s="1"/>
      <c r="F22" s="439">
        <f>SUMPRODUCT(D16:D21,F16:F21)</f>
        <v>0</v>
      </c>
      <c r="G22" s="1"/>
      <c r="H22" s="440">
        <f>SUM(H16:H21)</f>
        <v>0</v>
      </c>
      <c r="I22" s="1"/>
      <c r="J22" s="1"/>
      <c r="K22" s="1"/>
      <c r="L22" s="1"/>
      <c r="Q22" s="583" t="s">
        <v>656</v>
      </c>
      <c r="R22" s="584"/>
      <c r="S22" s="409">
        <f t="shared" ref="S22:X22" si="10">S12</f>
        <v>0</v>
      </c>
      <c r="T22" s="409">
        <f t="shared" si="10"/>
        <v>0</v>
      </c>
      <c r="U22" s="409">
        <f t="shared" si="10"/>
        <v>0</v>
      </c>
      <c r="V22" s="409">
        <f t="shared" si="10"/>
        <v>0</v>
      </c>
      <c r="W22" s="409">
        <f t="shared" si="10"/>
        <v>0</v>
      </c>
      <c r="X22" s="409">
        <f t="shared" si="10"/>
        <v>0</v>
      </c>
      <c r="Z22" s="438">
        <v>550</v>
      </c>
      <c r="AA22" s="438">
        <v>22</v>
      </c>
      <c r="AB22" s="6"/>
    </row>
    <row r="23" spans="1:28" ht="18" customHeight="1" thickTop="1" x14ac:dyDescent="0.2">
      <c r="A23" s="1"/>
      <c r="B23" s="1"/>
      <c r="C23" s="1"/>
      <c r="D23" s="1"/>
      <c r="E23" s="1"/>
      <c r="F23" s="1"/>
      <c r="G23" s="1"/>
      <c r="H23" s="1"/>
      <c r="I23" s="1"/>
      <c r="J23" s="1"/>
      <c r="K23" s="1"/>
      <c r="L23" s="1"/>
      <c r="M23" s="1"/>
      <c r="N23" s="1"/>
      <c r="O23" s="1"/>
      <c r="P23" s="1"/>
      <c r="Q23" s="583" t="s">
        <v>686</v>
      </c>
      <c r="R23" s="584"/>
      <c r="S23" s="433">
        <f t="shared" ref="S23:X23" si="11">IF(S14&gt;0,(S18+S19+S20)/S14,0)</f>
        <v>0</v>
      </c>
      <c r="T23" s="433">
        <f t="shared" si="11"/>
        <v>0</v>
      </c>
      <c r="U23" s="433">
        <f t="shared" si="11"/>
        <v>0</v>
      </c>
      <c r="V23" s="433">
        <f t="shared" si="11"/>
        <v>0</v>
      </c>
      <c r="W23" s="433">
        <f t="shared" si="11"/>
        <v>0</v>
      </c>
      <c r="X23" s="433">
        <f t="shared" si="11"/>
        <v>0</v>
      </c>
      <c r="Z23" s="438">
        <v>600</v>
      </c>
      <c r="AA23" s="438">
        <v>20</v>
      </c>
      <c r="AB23" s="6"/>
    </row>
    <row r="24" spans="1:28" ht="18" customHeight="1" x14ac:dyDescent="0.2">
      <c r="A24" s="1"/>
      <c r="C24" s="1"/>
      <c r="D24" s="1"/>
      <c r="E24" s="1"/>
      <c r="F24" s="1"/>
      <c r="G24" s="1"/>
      <c r="H24" s="1"/>
      <c r="I24" s="1"/>
      <c r="J24" s="1"/>
      <c r="K24" s="1"/>
      <c r="L24" s="1"/>
      <c r="M24" s="1"/>
      <c r="N24" s="1"/>
      <c r="O24" s="1"/>
      <c r="P24" s="1"/>
      <c r="Q24" s="583" t="s">
        <v>687</v>
      </c>
      <c r="R24" s="584"/>
      <c r="S24" s="433">
        <f t="shared" ref="S24:X24" si="12">IF(S22&gt;0,S21/S22,0)</f>
        <v>0</v>
      </c>
      <c r="T24" s="433">
        <f t="shared" si="12"/>
        <v>0</v>
      </c>
      <c r="U24" s="433">
        <f t="shared" si="12"/>
        <v>0</v>
      </c>
      <c r="V24" s="433">
        <f t="shared" si="12"/>
        <v>0</v>
      </c>
      <c r="W24" s="433">
        <f t="shared" si="12"/>
        <v>0</v>
      </c>
      <c r="X24" s="433">
        <f t="shared" si="12"/>
        <v>0</v>
      </c>
      <c r="Z24" s="438">
        <v>650</v>
      </c>
      <c r="AA24" s="438">
        <v>18</v>
      </c>
      <c r="AB24" s="6"/>
    </row>
    <row r="25" spans="1:28" customFormat="1" ht="18" customHeight="1" x14ac:dyDescent="0.2"/>
    <row r="26" spans="1:28" customFormat="1" ht="18" customHeight="1" x14ac:dyDescent="0.25">
      <c r="B26" s="5" t="s">
        <v>390</v>
      </c>
      <c r="C26" s="419"/>
      <c r="D26" s="193"/>
      <c r="E26" s="193"/>
      <c r="F26" s="193"/>
      <c r="G26" s="193"/>
      <c r="H26" s="193"/>
      <c r="I26" s="193"/>
      <c r="J26" s="419"/>
      <c r="K26" s="419"/>
      <c r="L26" s="245"/>
    </row>
    <row r="27" spans="1:28" customFormat="1" ht="18" customHeight="1" x14ac:dyDescent="0.25">
      <c r="B27" s="446"/>
      <c r="C27" s="255"/>
      <c r="D27" s="193"/>
      <c r="E27" s="193"/>
      <c r="F27" s="193"/>
      <c r="G27" s="193"/>
      <c r="H27" s="193"/>
      <c r="I27" s="193"/>
      <c r="J27" s="193"/>
      <c r="K27" s="419"/>
      <c r="L27" s="245"/>
    </row>
    <row r="28" spans="1:28" customFormat="1" ht="30.75" x14ac:dyDescent="0.25">
      <c r="C28" s="407" t="s">
        <v>866</v>
      </c>
      <c r="D28" s="407" t="s">
        <v>867</v>
      </c>
      <c r="E28" s="407" t="s">
        <v>384</v>
      </c>
      <c r="F28" s="408" t="s">
        <v>716</v>
      </c>
      <c r="G28" s="408" t="s">
        <v>385</v>
      </c>
      <c r="H28" s="408" t="s">
        <v>386</v>
      </c>
      <c r="I28" s="407" t="s">
        <v>387</v>
      </c>
      <c r="J28" s="407" t="s">
        <v>389</v>
      </c>
      <c r="K28" s="407" t="s">
        <v>688</v>
      </c>
      <c r="L28" s="407" t="s">
        <v>388</v>
      </c>
      <c r="Z28" s="446" t="s">
        <v>375</v>
      </c>
      <c r="AA28" s="419"/>
    </row>
    <row r="29" spans="1:28" customFormat="1" ht="18" customHeight="1" x14ac:dyDescent="0.2">
      <c r="B29" s="1" t="s">
        <v>698</v>
      </c>
      <c r="C29" s="409">
        <f t="shared" ref="C29:C34" si="13">D16</f>
        <v>0</v>
      </c>
      <c r="D29" s="409">
        <f t="shared" ref="D29:D34" si="14">F16</f>
        <v>0</v>
      </c>
      <c r="E29" s="450"/>
      <c r="F29" s="451"/>
      <c r="G29" s="450"/>
      <c r="H29" s="411">
        <f t="shared" ref="H29:H34" si="15">IF(C29&gt;0,C29*E29*F29/G29,0)</f>
        <v>0</v>
      </c>
      <c r="I29" s="433">
        <f t="shared" ref="I29:I34" si="16">IF(C29&gt;0,H29/C29,0)</f>
        <v>0</v>
      </c>
      <c r="J29" s="549">
        <v>0</v>
      </c>
      <c r="K29" s="549">
        <v>0</v>
      </c>
      <c r="L29" s="433">
        <f t="shared" ref="L29:L34" si="17">K29*C29</f>
        <v>0</v>
      </c>
      <c r="Z29" s="419"/>
      <c r="AA29" s="419"/>
    </row>
    <row r="30" spans="1:28" customFormat="1" ht="18" customHeight="1" x14ac:dyDescent="0.25">
      <c r="B30" s="1" t="s">
        <v>699</v>
      </c>
      <c r="C30" s="409">
        <f t="shared" si="13"/>
        <v>0</v>
      </c>
      <c r="D30" s="409">
        <f t="shared" si="14"/>
        <v>0</v>
      </c>
      <c r="E30" s="450"/>
      <c r="F30" s="451"/>
      <c r="G30" s="450"/>
      <c r="H30" s="411">
        <f t="shared" si="15"/>
        <v>0</v>
      </c>
      <c r="I30" s="433">
        <f t="shared" si="16"/>
        <v>0</v>
      </c>
      <c r="J30" s="549">
        <v>0</v>
      </c>
      <c r="K30" s="549">
        <v>0</v>
      </c>
      <c r="L30" s="433">
        <f t="shared" si="17"/>
        <v>0</v>
      </c>
      <c r="Z30" s="362" t="s">
        <v>374</v>
      </c>
      <c r="AA30" s="548">
        <f>D16</f>
        <v>0</v>
      </c>
    </row>
    <row r="31" spans="1:28" customFormat="1" ht="18" customHeight="1" x14ac:dyDescent="0.25">
      <c r="B31" s="1" t="s">
        <v>700</v>
      </c>
      <c r="C31" s="409">
        <f t="shared" si="13"/>
        <v>0</v>
      </c>
      <c r="D31" s="409">
        <f t="shared" si="14"/>
        <v>0</v>
      </c>
      <c r="E31" s="450"/>
      <c r="F31" s="451"/>
      <c r="G31" s="450"/>
      <c r="H31" s="411">
        <f t="shared" si="15"/>
        <v>0</v>
      </c>
      <c r="I31" s="433">
        <f t="shared" si="16"/>
        <v>0</v>
      </c>
      <c r="J31" s="549">
        <v>0</v>
      </c>
      <c r="K31" s="549">
        <v>0</v>
      </c>
      <c r="L31" s="433">
        <f t="shared" si="17"/>
        <v>0</v>
      </c>
      <c r="Z31" s="362" t="s">
        <v>868</v>
      </c>
      <c r="AA31" s="256">
        <v>200</v>
      </c>
    </row>
    <row r="32" spans="1:28" customFormat="1" ht="18" customHeight="1" x14ac:dyDescent="0.25">
      <c r="B32" s="1" t="s">
        <v>701</v>
      </c>
      <c r="C32" s="409">
        <f t="shared" si="13"/>
        <v>0</v>
      </c>
      <c r="D32" s="409">
        <f t="shared" si="14"/>
        <v>0</v>
      </c>
      <c r="E32" s="450"/>
      <c r="F32" s="451"/>
      <c r="G32" s="450"/>
      <c r="H32" s="411">
        <f t="shared" si="15"/>
        <v>0</v>
      </c>
      <c r="I32" s="433">
        <f t="shared" si="16"/>
        <v>0</v>
      </c>
      <c r="J32" s="549">
        <v>0</v>
      </c>
      <c r="K32" s="549">
        <v>0</v>
      </c>
      <c r="L32" s="433">
        <f t="shared" si="17"/>
        <v>0</v>
      </c>
      <c r="Z32" s="362" t="s">
        <v>869</v>
      </c>
      <c r="AA32" s="257">
        <v>2</v>
      </c>
    </row>
    <row r="33" spans="1:38" customFormat="1" ht="18" customHeight="1" x14ac:dyDescent="0.25">
      <c r="B33" s="1" t="s">
        <v>702</v>
      </c>
      <c r="C33" s="409">
        <f t="shared" si="13"/>
        <v>0</v>
      </c>
      <c r="D33" s="409">
        <f t="shared" si="14"/>
        <v>0</v>
      </c>
      <c r="E33" s="450"/>
      <c r="F33" s="451"/>
      <c r="G33" s="450"/>
      <c r="H33" s="411">
        <f t="shared" si="15"/>
        <v>0</v>
      </c>
      <c r="I33" s="433">
        <f t="shared" si="16"/>
        <v>0</v>
      </c>
      <c r="J33" s="549">
        <v>0</v>
      </c>
      <c r="K33" s="549">
        <v>0</v>
      </c>
      <c r="L33" s="433">
        <f t="shared" si="17"/>
        <v>0</v>
      </c>
      <c r="Z33" s="362" t="s">
        <v>870</v>
      </c>
      <c r="AA33" s="256">
        <v>28</v>
      </c>
    </row>
    <row r="34" spans="1:38" customFormat="1" ht="18" customHeight="1" x14ac:dyDescent="0.25">
      <c r="B34" s="1" t="s">
        <v>703</v>
      </c>
      <c r="C34" s="409">
        <f t="shared" si="13"/>
        <v>0</v>
      </c>
      <c r="D34" s="409">
        <f t="shared" si="14"/>
        <v>0</v>
      </c>
      <c r="E34" s="450"/>
      <c r="F34" s="451"/>
      <c r="G34" s="450"/>
      <c r="H34" s="411">
        <f t="shared" si="15"/>
        <v>0</v>
      </c>
      <c r="I34" s="433">
        <f t="shared" si="16"/>
        <v>0</v>
      </c>
      <c r="J34" s="549">
        <v>0</v>
      </c>
      <c r="K34" s="549">
        <v>0</v>
      </c>
      <c r="L34" s="433">
        <f t="shared" si="17"/>
        <v>0</v>
      </c>
      <c r="Z34" s="362" t="s">
        <v>993</v>
      </c>
      <c r="AA34" s="411">
        <f>IF(AA30&gt;0,AA30*AA31*AA32/AA33,0)</f>
        <v>0</v>
      </c>
    </row>
    <row r="35" spans="1:38" customFormat="1" ht="18" customHeight="1" thickBot="1" x14ac:dyDescent="0.3">
      <c r="B35" s="419"/>
      <c r="C35" s="419"/>
      <c r="D35" s="419"/>
      <c r="E35" s="419"/>
      <c r="F35" s="419"/>
      <c r="G35" s="419"/>
      <c r="H35" s="440">
        <f>SUM(H29:H34)</f>
        <v>0</v>
      </c>
      <c r="I35" s="419"/>
      <c r="J35" s="440">
        <f>SUM(J29:J34)</f>
        <v>0</v>
      </c>
      <c r="K35" s="419"/>
      <c r="L35" s="440">
        <f>SUM(L29:L34)</f>
        <v>0</v>
      </c>
      <c r="Z35" s="362" t="s">
        <v>871</v>
      </c>
      <c r="AA35" s="433">
        <f>IF(AA30&gt;0,AA34/AA30,0)</f>
        <v>0</v>
      </c>
    </row>
    <row r="36" spans="1:38" customFormat="1" ht="18" customHeight="1" thickTop="1" x14ac:dyDescent="0.2"/>
    <row r="37" spans="1:38" customFormat="1" ht="18" customHeight="1" x14ac:dyDescent="0.2"/>
    <row r="38" spans="1:38" customFormat="1" ht="18" customHeight="1" x14ac:dyDescent="0.25">
      <c r="B38" s="5" t="s">
        <v>392</v>
      </c>
      <c r="C38" s="1"/>
      <c r="D38" s="1"/>
      <c r="E38" s="1"/>
      <c r="F38" s="1"/>
      <c r="G38" s="1"/>
      <c r="H38" s="1"/>
      <c r="I38" s="1"/>
      <c r="J38" s="1"/>
      <c r="K38" s="1"/>
      <c r="L38" s="419"/>
      <c r="M38" s="419"/>
      <c r="N38" s="419"/>
      <c r="O38" s="419"/>
      <c r="P38" s="419"/>
    </row>
    <row r="39" spans="1:38" ht="18" customHeight="1" x14ac:dyDescent="0.2">
      <c r="A39" s="1"/>
      <c r="B39" s="1"/>
      <c r="C39" s="1"/>
      <c r="D39" s="1"/>
      <c r="E39" s="1"/>
      <c r="F39" s="1"/>
      <c r="G39" s="1"/>
      <c r="H39" s="1"/>
      <c r="I39" s="1"/>
      <c r="J39" s="1"/>
      <c r="K39" s="1"/>
      <c r="Q39" s="1"/>
      <c r="R39" s="1"/>
      <c r="S39" s="1"/>
      <c r="T39" s="1"/>
      <c r="U39" s="1"/>
      <c r="V39" s="1"/>
      <c r="W39" s="1"/>
      <c r="X39" s="1"/>
      <c r="AA39" s="419"/>
    </row>
    <row r="40" spans="1:38" ht="28.5" customHeight="1" x14ac:dyDescent="0.2">
      <c r="A40" s="1"/>
      <c r="B40" s="1"/>
      <c r="C40" s="407" t="s">
        <v>720</v>
      </c>
      <c r="D40" s="408" t="s">
        <v>883</v>
      </c>
      <c r="E40" s="408" t="s">
        <v>884</v>
      </c>
      <c r="F40" s="408" t="s">
        <v>885</v>
      </c>
      <c r="G40" s="408" t="s">
        <v>886</v>
      </c>
      <c r="H40" s="408" t="s">
        <v>887</v>
      </c>
      <c r="I40" s="408" t="s">
        <v>888</v>
      </c>
      <c r="J40" s="408" t="s">
        <v>889</v>
      </c>
      <c r="K40" s="408" t="s">
        <v>395</v>
      </c>
      <c r="L40" s="408" t="s">
        <v>337</v>
      </c>
      <c r="M40" s="408" t="s">
        <v>993</v>
      </c>
      <c r="X40" s="1"/>
      <c r="Y40" s="1"/>
      <c r="AA40" s="419"/>
    </row>
    <row r="41" spans="1:38" ht="18" customHeight="1" x14ac:dyDescent="0.2">
      <c r="A41" s="1"/>
      <c r="B41" s="1" t="s">
        <v>698</v>
      </c>
      <c r="C41" s="409">
        <f t="shared" ref="C41:C46" si="18">D16</f>
        <v>0</v>
      </c>
      <c r="D41" s="410"/>
      <c r="E41" s="410"/>
      <c r="F41" s="410"/>
      <c r="G41" s="410"/>
      <c r="H41" s="410"/>
      <c r="I41" s="410"/>
      <c r="J41" s="410"/>
      <c r="K41" s="410"/>
      <c r="L41" s="410"/>
      <c r="M41" s="411">
        <f t="shared" ref="M41:M46" si="19">SUM(D41:L41)*C41</f>
        <v>0</v>
      </c>
      <c r="X41" s="1"/>
      <c r="AA41" s="419"/>
      <c r="AB41" s="419"/>
      <c r="AC41" s="419"/>
      <c r="AD41" s="419"/>
      <c r="AE41" s="419"/>
      <c r="AF41" s="419"/>
    </row>
    <row r="42" spans="1:38" ht="18" customHeight="1" x14ac:dyDescent="0.2">
      <c r="A42" s="1"/>
      <c r="B42" s="1" t="s">
        <v>699</v>
      </c>
      <c r="C42" s="409">
        <f t="shared" si="18"/>
        <v>0</v>
      </c>
      <c r="D42" s="410"/>
      <c r="E42" s="410"/>
      <c r="F42" s="410"/>
      <c r="G42" s="410"/>
      <c r="H42" s="410"/>
      <c r="I42" s="410"/>
      <c r="J42" s="410"/>
      <c r="K42" s="410"/>
      <c r="L42" s="410"/>
      <c r="M42" s="411">
        <f t="shared" si="19"/>
        <v>0</v>
      </c>
      <c r="X42" s="1"/>
      <c r="AA42" s="419"/>
      <c r="AB42" s="419"/>
      <c r="AC42" s="419"/>
      <c r="AD42" s="419"/>
      <c r="AE42" s="419"/>
      <c r="AF42" s="419"/>
    </row>
    <row r="43" spans="1:38" ht="18" customHeight="1" x14ac:dyDescent="0.2">
      <c r="A43" s="1"/>
      <c r="B43" s="1" t="s">
        <v>700</v>
      </c>
      <c r="C43" s="409">
        <f t="shared" si="18"/>
        <v>0</v>
      </c>
      <c r="D43" s="410"/>
      <c r="E43" s="410"/>
      <c r="F43" s="410"/>
      <c r="G43" s="410"/>
      <c r="H43" s="410"/>
      <c r="I43" s="410"/>
      <c r="J43" s="410"/>
      <c r="K43" s="410"/>
      <c r="L43" s="410"/>
      <c r="M43" s="411">
        <f t="shared" si="19"/>
        <v>0</v>
      </c>
      <c r="X43" s="1"/>
      <c r="AA43" s="419"/>
      <c r="AB43" s="419"/>
      <c r="AC43" s="419"/>
      <c r="AD43" s="419"/>
      <c r="AE43" s="419"/>
      <c r="AF43" s="419"/>
    </row>
    <row r="44" spans="1:38" ht="18" customHeight="1" x14ac:dyDescent="0.2">
      <c r="A44" s="1"/>
      <c r="B44" s="1" t="s">
        <v>701</v>
      </c>
      <c r="C44" s="409">
        <f t="shared" si="18"/>
        <v>0</v>
      </c>
      <c r="D44" s="410"/>
      <c r="E44" s="410"/>
      <c r="F44" s="410"/>
      <c r="G44" s="410"/>
      <c r="H44" s="410"/>
      <c r="I44" s="410"/>
      <c r="J44" s="410"/>
      <c r="K44" s="410"/>
      <c r="L44" s="410"/>
      <c r="M44" s="411">
        <f t="shared" si="19"/>
        <v>0</v>
      </c>
      <c r="X44" s="1"/>
      <c r="AA44" s="419"/>
      <c r="AB44" s="419"/>
      <c r="AC44" s="419"/>
      <c r="AD44" s="419"/>
      <c r="AE44" s="419"/>
      <c r="AF44" s="419"/>
    </row>
    <row r="45" spans="1:38" ht="18" customHeight="1" x14ac:dyDescent="0.2">
      <c r="A45" s="1"/>
      <c r="B45" s="1" t="s">
        <v>702</v>
      </c>
      <c r="C45" s="409">
        <f t="shared" si="18"/>
        <v>0</v>
      </c>
      <c r="D45" s="410"/>
      <c r="E45" s="410"/>
      <c r="F45" s="410"/>
      <c r="G45" s="410"/>
      <c r="H45" s="410"/>
      <c r="I45" s="410"/>
      <c r="J45" s="410"/>
      <c r="K45" s="410"/>
      <c r="L45" s="410"/>
      <c r="M45" s="411">
        <f t="shared" si="19"/>
        <v>0</v>
      </c>
      <c r="X45" s="1"/>
      <c r="AA45" s="419"/>
      <c r="AB45" s="419"/>
      <c r="AC45" s="419"/>
      <c r="AD45" s="419"/>
      <c r="AE45" s="419"/>
      <c r="AF45" s="419"/>
      <c r="AL45" s="444"/>
    </row>
    <row r="46" spans="1:38" ht="18" customHeight="1" x14ac:dyDescent="0.2">
      <c r="A46" s="1"/>
      <c r="B46" s="1" t="s">
        <v>703</v>
      </c>
      <c r="C46" s="409">
        <f t="shared" si="18"/>
        <v>0</v>
      </c>
      <c r="D46" s="410"/>
      <c r="E46" s="410"/>
      <c r="F46" s="410"/>
      <c r="G46" s="410"/>
      <c r="H46" s="410"/>
      <c r="I46" s="410"/>
      <c r="J46" s="410"/>
      <c r="K46" s="410"/>
      <c r="L46" s="410"/>
      <c r="M46" s="411">
        <f t="shared" si="19"/>
        <v>0</v>
      </c>
      <c r="X46" s="1"/>
      <c r="AA46" s="419"/>
      <c r="AB46" s="419"/>
      <c r="AC46" s="419"/>
      <c r="AD46" s="419"/>
      <c r="AE46" s="419"/>
      <c r="AF46" s="419"/>
      <c r="AK46" s="444"/>
      <c r="AL46" s="444"/>
    </row>
    <row r="47" spans="1:38" ht="18" customHeight="1" x14ac:dyDescent="0.2">
      <c r="A47" s="1"/>
      <c r="B47" s="1"/>
      <c r="C47" s="1"/>
      <c r="D47" s="412">
        <f t="shared" ref="D47:L47" si="20">SUMPRODUCT($C$41:$C$46,D41:D46)</f>
        <v>0</v>
      </c>
      <c r="E47" s="412">
        <f t="shared" si="20"/>
        <v>0</v>
      </c>
      <c r="F47" s="412">
        <f t="shared" si="20"/>
        <v>0</v>
      </c>
      <c r="G47" s="412">
        <f t="shared" si="20"/>
        <v>0</v>
      </c>
      <c r="H47" s="412">
        <f t="shared" si="20"/>
        <v>0</v>
      </c>
      <c r="I47" s="412">
        <f t="shared" si="20"/>
        <v>0</v>
      </c>
      <c r="J47" s="412">
        <f t="shared" si="20"/>
        <v>0</v>
      </c>
      <c r="K47" s="412">
        <f t="shared" si="20"/>
        <v>0</v>
      </c>
      <c r="L47" s="412">
        <f t="shared" si="20"/>
        <v>0</v>
      </c>
      <c r="M47" s="411">
        <f>SUM(M41:M46)</f>
        <v>0</v>
      </c>
      <c r="X47" s="1"/>
      <c r="AA47" s="419"/>
      <c r="AB47" s="419"/>
      <c r="AC47" s="419"/>
      <c r="AD47" s="419"/>
      <c r="AE47" s="419"/>
      <c r="AF47" s="419"/>
      <c r="AK47" s="444"/>
      <c r="AL47" s="444"/>
    </row>
    <row r="48" spans="1:38" ht="18" customHeight="1" x14ac:dyDescent="0.2">
      <c r="A48" s="1"/>
      <c r="Q48" s="1"/>
      <c r="R48" s="1"/>
      <c r="S48" s="1"/>
      <c r="T48" s="1"/>
      <c r="U48" s="1"/>
      <c r="V48" s="1"/>
      <c r="W48" s="1"/>
      <c r="X48" s="1"/>
      <c r="AA48" s="419"/>
      <c r="AB48" s="419"/>
      <c r="AC48" s="419"/>
      <c r="AD48" s="419"/>
      <c r="AE48" s="419"/>
      <c r="AF48" s="419"/>
      <c r="AK48" s="444"/>
      <c r="AL48" s="444"/>
    </row>
    <row r="49" spans="1:38" ht="18" customHeight="1" x14ac:dyDescent="0.2">
      <c r="A49" s="1"/>
      <c r="Q49" s="1"/>
      <c r="R49" s="1"/>
      <c r="S49" s="1"/>
      <c r="T49" s="1"/>
      <c r="U49" s="1"/>
      <c r="V49" s="1"/>
      <c r="W49" s="1"/>
      <c r="X49" s="1"/>
      <c r="AA49" s="419"/>
      <c r="AB49" s="419"/>
      <c r="AC49" s="419"/>
      <c r="AD49" s="419"/>
      <c r="AE49" s="419"/>
      <c r="AF49" s="419"/>
      <c r="AK49" s="444"/>
      <c r="AL49" s="444"/>
    </row>
    <row r="50" spans="1:38" ht="18" customHeight="1" x14ac:dyDescent="0.2">
      <c r="A50" s="1"/>
      <c r="Q50" s="1"/>
      <c r="R50" s="1"/>
      <c r="S50" s="1"/>
      <c r="T50" s="1"/>
      <c r="U50" s="1"/>
      <c r="V50" s="1"/>
      <c r="W50" s="1"/>
      <c r="X50" s="1"/>
      <c r="AA50" s="419"/>
      <c r="AB50" s="419"/>
      <c r="AC50" s="419"/>
      <c r="AD50" s="419"/>
      <c r="AE50" s="419"/>
      <c r="AF50" s="419"/>
      <c r="AK50" s="444"/>
      <c r="AL50" s="444"/>
    </row>
    <row r="51" spans="1:38" ht="18" customHeight="1" x14ac:dyDescent="0.25">
      <c r="A51" s="1"/>
      <c r="B51" s="5" t="s">
        <v>401</v>
      </c>
      <c r="C51"/>
      <c r="D51"/>
      <c r="E51"/>
      <c r="F51"/>
      <c r="G51"/>
      <c r="H51"/>
      <c r="I51"/>
      <c r="J51"/>
      <c r="K51"/>
      <c r="L51"/>
      <c r="M51"/>
      <c r="N51"/>
      <c r="O51"/>
      <c r="P51"/>
      <c r="Q51" s="1"/>
      <c r="R51" s="1"/>
      <c r="S51" s="1"/>
      <c r="T51" s="1"/>
      <c r="U51" s="1"/>
      <c r="V51" s="1"/>
      <c r="W51" s="1"/>
      <c r="X51" s="1"/>
      <c r="AA51" s="419"/>
      <c r="AB51" s="419"/>
      <c r="AC51" s="419"/>
      <c r="AD51" s="419"/>
      <c r="AE51" s="419"/>
      <c r="AF51" s="419"/>
      <c r="AK51" s="444"/>
      <c r="AL51" s="444"/>
    </row>
    <row r="52" spans="1:38" ht="18" customHeight="1" x14ac:dyDescent="0.25">
      <c r="A52" s="1"/>
      <c r="B52" s="5"/>
      <c r="C52" s="1"/>
      <c r="D52" s="1"/>
      <c r="E52" s="1"/>
      <c r="F52" s="1"/>
      <c r="G52" s="1"/>
      <c r="H52" s="1"/>
      <c r="I52" s="1"/>
      <c r="J52" s="1"/>
      <c r="K52" s="1"/>
      <c r="L52" s="1"/>
      <c r="M52" s="1"/>
      <c r="N52" s="1"/>
      <c r="O52" s="1"/>
      <c r="P52" s="1"/>
      <c r="Q52" s="1"/>
      <c r="R52" s="1"/>
      <c r="S52" s="1"/>
      <c r="T52" s="1"/>
      <c r="U52" s="1"/>
      <c r="V52" s="1"/>
      <c r="W52" s="1"/>
      <c r="X52" s="1"/>
      <c r="AA52" s="419"/>
      <c r="AB52" s="419"/>
      <c r="AC52" s="419"/>
      <c r="AD52" s="419"/>
      <c r="AE52" s="419"/>
      <c r="AF52" s="419"/>
      <c r="AK52" s="444"/>
      <c r="AL52" s="444"/>
    </row>
    <row r="53" spans="1:38" ht="30" x14ac:dyDescent="0.2">
      <c r="A53" s="1"/>
      <c r="B53" s="1"/>
      <c r="C53" s="407" t="s">
        <v>704</v>
      </c>
      <c r="D53" s="407" t="s">
        <v>824</v>
      </c>
      <c r="E53" s="407" t="s">
        <v>705</v>
      </c>
      <c r="F53" s="407" t="s">
        <v>378</v>
      </c>
      <c r="G53" s="407" t="s">
        <v>379</v>
      </c>
      <c r="H53" s="407" t="s">
        <v>706</v>
      </c>
      <c r="I53" s="407" t="s">
        <v>380</v>
      </c>
      <c r="J53" s="407" t="s">
        <v>850</v>
      </c>
      <c r="K53" s="407" t="s">
        <v>707</v>
      </c>
      <c r="L53" s="407" t="s">
        <v>708</v>
      </c>
      <c r="M53" s="407" t="s">
        <v>855</v>
      </c>
      <c r="N53" s="407" t="s">
        <v>851</v>
      </c>
      <c r="O53" s="407" t="s">
        <v>856</v>
      </c>
      <c r="Q53" s="1"/>
      <c r="R53" s="1"/>
      <c r="S53" s="1"/>
      <c r="T53" s="1"/>
      <c r="U53" s="1"/>
      <c r="V53" s="1"/>
      <c r="W53" s="1"/>
      <c r="X53" s="1"/>
      <c r="AA53" s="419"/>
      <c r="AB53" s="419"/>
      <c r="AC53" s="419"/>
      <c r="AD53" s="419"/>
      <c r="AE53" s="419"/>
      <c r="AF53" s="419"/>
      <c r="AK53" s="444"/>
      <c r="AL53" s="444"/>
    </row>
    <row r="54" spans="1:38" ht="18" customHeight="1" x14ac:dyDescent="0.2">
      <c r="A54" s="1"/>
      <c r="B54" s="1" t="s">
        <v>698</v>
      </c>
      <c r="C54" s="431"/>
      <c r="D54" s="409">
        <f t="shared" ref="D54:D59" si="21">C54-C16</f>
        <v>0</v>
      </c>
      <c r="E54" s="429"/>
      <c r="F54" s="409">
        <f t="shared" ref="F54:F59" si="22">E54-F16</f>
        <v>0</v>
      </c>
      <c r="G54" s="413">
        <f t="shared" ref="G54:G59" si="23">IF(F54&lt;=0,0,F54/D54)</f>
        <v>0</v>
      </c>
      <c r="H54" s="441"/>
      <c r="I54" s="421">
        <f t="shared" ref="I54:I59" si="24">IF(H54&lt;=0,0,(H54-D16)/D16)</f>
        <v>0</v>
      </c>
      <c r="J54" s="442"/>
      <c r="K54" s="550">
        <f t="shared" ref="K54:K59" si="25">J54*E54</f>
        <v>0</v>
      </c>
      <c r="L54" s="411">
        <f t="shared" ref="L54:L59" si="26">K54*H54</f>
        <v>0</v>
      </c>
      <c r="M54" s="409">
        <f t="shared" ref="M54:M59" si="27">E54*H54</f>
        <v>0</v>
      </c>
      <c r="N54" s="415">
        <v>0.52</v>
      </c>
      <c r="O54" s="409">
        <f t="shared" ref="O54:O59" si="28">N54*M54</f>
        <v>0</v>
      </c>
      <c r="Q54" s="1"/>
      <c r="R54" s="1"/>
      <c r="S54" s="1"/>
      <c r="T54" s="1"/>
      <c r="U54" s="1"/>
      <c r="V54" s="1"/>
      <c r="W54" s="1"/>
      <c r="X54" s="1"/>
      <c r="AA54" s="419"/>
      <c r="AB54" s="419"/>
      <c r="AC54" s="419"/>
      <c r="AD54" s="419"/>
      <c r="AE54" s="419"/>
      <c r="AF54" s="419"/>
      <c r="AK54" s="444"/>
      <c r="AL54" s="444"/>
    </row>
    <row r="55" spans="1:38" ht="18" customHeight="1" x14ac:dyDescent="0.2">
      <c r="A55" s="1"/>
      <c r="B55" s="1" t="s">
        <v>699</v>
      </c>
      <c r="C55" s="431"/>
      <c r="D55" s="409">
        <f t="shared" si="21"/>
        <v>0</v>
      </c>
      <c r="E55" s="429"/>
      <c r="F55" s="409">
        <f t="shared" si="22"/>
        <v>0</v>
      </c>
      <c r="G55" s="413">
        <f t="shared" si="23"/>
        <v>0</v>
      </c>
      <c r="H55" s="435"/>
      <c r="I55" s="421">
        <f t="shared" si="24"/>
        <v>0</v>
      </c>
      <c r="J55" s="442"/>
      <c r="K55" s="550">
        <f t="shared" si="25"/>
        <v>0</v>
      </c>
      <c r="L55" s="411">
        <f t="shared" si="26"/>
        <v>0</v>
      </c>
      <c r="M55" s="409">
        <f t="shared" si="27"/>
        <v>0</v>
      </c>
      <c r="N55" s="415">
        <v>0.52</v>
      </c>
      <c r="O55" s="409">
        <f t="shared" si="28"/>
        <v>0</v>
      </c>
      <c r="Q55" s="1"/>
      <c r="R55" s="1"/>
      <c r="S55" s="1"/>
      <c r="T55" s="1"/>
      <c r="U55" s="1"/>
      <c r="V55" s="1"/>
      <c r="W55" s="1"/>
      <c r="X55" s="1"/>
      <c r="AA55" s="419"/>
      <c r="AB55" s="419"/>
      <c r="AC55" s="419"/>
      <c r="AD55" s="419"/>
      <c r="AE55" s="419"/>
      <c r="AF55" s="419"/>
      <c r="AK55" s="444"/>
      <c r="AL55" s="444"/>
    </row>
    <row r="56" spans="1:38" x14ac:dyDescent="0.2">
      <c r="A56" s="1"/>
      <c r="B56" s="1" t="s">
        <v>700</v>
      </c>
      <c r="C56" s="431"/>
      <c r="D56" s="409">
        <f t="shared" si="21"/>
        <v>0</v>
      </c>
      <c r="E56" s="429"/>
      <c r="F56" s="409">
        <f t="shared" si="22"/>
        <v>0</v>
      </c>
      <c r="G56" s="413">
        <f t="shared" si="23"/>
        <v>0</v>
      </c>
      <c r="H56" s="435"/>
      <c r="I56" s="421">
        <f t="shared" si="24"/>
        <v>0</v>
      </c>
      <c r="J56" s="442"/>
      <c r="K56" s="550">
        <f t="shared" si="25"/>
        <v>0</v>
      </c>
      <c r="L56" s="411">
        <f t="shared" si="26"/>
        <v>0</v>
      </c>
      <c r="M56" s="409">
        <f t="shared" si="27"/>
        <v>0</v>
      </c>
      <c r="N56" s="415">
        <v>0.52</v>
      </c>
      <c r="O56" s="409">
        <f t="shared" si="28"/>
        <v>0</v>
      </c>
      <c r="Q56" s="1"/>
      <c r="R56" s="1"/>
      <c r="S56" s="1"/>
      <c r="T56" s="1"/>
      <c r="U56" s="1"/>
      <c r="V56" s="1"/>
      <c r="W56" s="1"/>
      <c r="X56" s="1"/>
      <c r="AA56" s="419"/>
      <c r="AB56" s="419"/>
      <c r="AC56" s="419"/>
      <c r="AD56" s="419"/>
      <c r="AE56" s="419"/>
      <c r="AF56" s="419"/>
      <c r="AK56" s="444"/>
      <c r="AL56" s="444"/>
    </row>
    <row r="57" spans="1:38" ht="18" customHeight="1" x14ac:dyDescent="0.2">
      <c r="A57" s="1"/>
      <c r="B57" s="1" t="s">
        <v>701</v>
      </c>
      <c r="C57" s="431"/>
      <c r="D57" s="409">
        <f t="shared" si="21"/>
        <v>0</v>
      </c>
      <c r="E57" s="435"/>
      <c r="F57" s="409">
        <f t="shared" si="22"/>
        <v>0</v>
      </c>
      <c r="G57" s="413">
        <f t="shared" si="23"/>
        <v>0</v>
      </c>
      <c r="H57" s="435"/>
      <c r="I57" s="421">
        <f t="shared" si="24"/>
        <v>0</v>
      </c>
      <c r="J57" s="442"/>
      <c r="K57" s="550">
        <f t="shared" si="25"/>
        <v>0</v>
      </c>
      <c r="L57" s="411">
        <f t="shared" si="26"/>
        <v>0</v>
      </c>
      <c r="M57" s="409">
        <f t="shared" si="27"/>
        <v>0</v>
      </c>
      <c r="N57" s="415">
        <v>0.52</v>
      </c>
      <c r="O57" s="409">
        <f t="shared" si="28"/>
        <v>0</v>
      </c>
      <c r="Q57" s="1"/>
      <c r="R57" s="1"/>
      <c r="S57" s="1"/>
      <c r="T57" s="1"/>
      <c r="U57" s="1"/>
      <c r="V57" s="1"/>
      <c r="W57" s="1"/>
      <c r="X57" s="1"/>
      <c r="AA57" s="419"/>
      <c r="AB57" s="419"/>
      <c r="AC57" s="419"/>
      <c r="AD57" s="419"/>
      <c r="AE57" s="419"/>
      <c r="AF57" s="419"/>
      <c r="AK57" s="444"/>
      <c r="AL57" s="444"/>
    </row>
    <row r="58" spans="1:38" ht="18" customHeight="1" x14ac:dyDescent="0.2">
      <c r="A58" s="1"/>
      <c r="B58" s="1" t="s">
        <v>702</v>
      </c>
      <c r="C58" s="431"/>
      <c r="D58" s="409">
        <f t="shared" si="21"/>
        <v>0</v>
      </c>
      <c r="E58" s="435"/>
      <c r="F58" s="409">
        <f t="shared" si="22"/>
        <v>0</v>
      </c>
      <c r="G58" s="413">
        <f t="shared" si="23"/>
        <v>0</v>
      </c>
      <c r="H58" s="435"/>
      <c r="I58" s="421">
        <f t="shared" si="24"/>
        <v>0</v>
      </c>
      <c r="J58" s="442"/>
      <c r="K58" s="550">
        <f t="shared" si="25"/>
        <v>0</v>
      </c>
      <c r="L58" s="411">
        <f t="shared" si="26"/>
        <v>0</v>
      </c>
      <c r="M58" s="409">
        <f t="shared" si="27"/>
        <v>0</v>
      </c>
      <c r="N58" s="415">
        <v>0.52</v>
      </c>
      <c r="O58" s="409">
        <f t="shared" si="28"/>
        <v>0</v>
      </c>
      <c r="Q58" s="1"/>
      <c r="R58" s="1"/>
      <c r="S58" s="1"/>
      <c r="T58" s="1"/>
      <c r="U58" s="1"/>
      <c r="V58" s="1"/>
      <c r="W58" s="1"/>
      <c r="X58" s="1"/>
      <c r="AA58" s="419"/>
      <c r="AB58" s="419"/>
      <c r="AC58" s="419"/>
      <c r="AD58" s="419"/>
      <c r="AE58" s="419"/>
      <c r="AF58" s="419"/>
      <c r="AK58" s="444"/>
      <c r="AL58" s="444"/>
    </row>
    <row r="59" spans="1:38" ht="18" customHeight="1" x14ac:dyDescent="0.2">
      <c r="A59" s="1"/>
      <c r="B59" s="1" t="s">
        <v>703</v>
      </c>
      <c r="C59" s="431"/>
      <c r="D59" s="409">
        <f t="shared" si="21"/>
        <v>0</v>
      </c>
      <c r="E59" s="435"/>
      <c r="F59" s="409">
        <f t="shared" si="22"/>
        <v>0</v>
      </c>
      <c r="G59" s="413">
        <f t="shared" si="23"/>
        <v>0</v>
      </c>
      <c r="H59" s="435"/>
      <c r="I59" s="421">
        <f t="shared" si="24"/>
        <v>0</v>
      </c>
      <c r="J59" s="442"/>
      <c r="K59" s="550">
        <f t="shared" si="25"/>
        <v>0</v>
      </c>
      <c r="L59" s="411">
        <f t="shared" si="26"/>
        <v>0</v>
      </c>
      <c r="M59" s="409">
        <f t="shared" si="27"/>
        <v>0</v>
      </c>
      <c r="N59" s="415">
        <v>0.52</v>
      </c>
      <c r="O59" s="409">
        <f t="shared" si="28"/>
        <v>0</v>
      </c>
      <c r="Q59" s="1"/>
      <c r="R59" s="1"/>
      <c r="S59" s="1"/>
      <c r="T59" s="1"/>
      <c r="U59" s="1"/>
      <c r="V59" s="1"/>
      <c r="W59" s="1"/>
      <c r="X59" s="1"/>
      <c r="AA59" s="419"/>
      <c r="AB59" s="419"/>
      <c r="AC59" s="419"/>
      <c r="AD59" s="419"/>
      <c r="AE59" s="419"/>
      <c r="AF59" s="419"/>
      <c r="AK59" s="444"/>
      <c r="AL59" s="444"/>
    </row>
    <row r="60" spans="1:38" ht="18" customHeight="1" thickBot="1" x14ac:dyDescent="0.25">
      <c r="A60" s="1"/>
      <c r="B60" s="1"/>
      <c r="C60" s="1"/>
      <c r="D60" s="1"/>
      <c r="E60" s="439">
        <f>SUMPRODUCT(E54:E59,H54:H59)</f>
        <v>0</v>
      </c>
      <c r="F60" s="1"/>
      <c r="G60" s="1"/>
      <c r="I60" s="1"/>
      <c r="J60" s="1"/>
      <c r="K60" s="1" t="s">
        <v>993</v>
      </c>
      <c r="L60" s="440">
        <f>SUM(L54:L59)</f>
        <v>0</v>
      </c>
      <c r="M60" s="439">
        <f>SUM(M54:M59)</f>
        <v>0</v>
      </c>
      <c r="O60" s="439">
        <f>SUM(O54:O59)</f>
        <v>0</v>
      </c>
      <c r="Q60" s="1"/>
      <c r="R60" s="1"/>
      <c r="S60" s="1"/>
      <c r="T60" s="1"/>
      <c r="U60" s="1"/>
      <c r="V60" s="1"/>
      <c r="W60" s="1"/>
      <c r="X60" s="1"/>
      <c r="AA60" s="419"/>
      <c r="AB60" s="419"/>
      <c r="AC60" s="419"/>
      <c r="AD60" s="419"/>
      <c r="AE60" s="419"/>
      <c r="AF60" s="419"/>
      <c r="AK60" s="444"/>
      <c r="AL60" s="444"/>
    </row>
    <row r="61" spans="1:38" ht="18" customHeight="1" thickTop="1" x14ac:dyDescent="0.2">
      <c r="A61" s="1"/>
      <c r="B61" s="1"/>
      <c r="C61" s="1"/>
      <c r="D61" s="1"/>
      <c r="E61" s="1"/>
      <c r="F61" s="1"/>
      <c r="G61" s="1"/>
      <c r="H61" s="1"/>
      <c r="I61" s="1"/>
      <c r="J61" s="1"/>
      <c r="K61" s="1"/>
      <c r="L61" s="12" t="s">
        <v>562</v>
      </c>
      <c r="M61" s="481">
        <f>F22</f>
        <v>0</v>
      </c>
      <c r="N61" s="1"/>
      <c r="O61" s="481" t="e">
        <f>M61*O60/M60</f>
        <v>#DIV/0!</v>
      </c>
      <c r="P61" s="1"/>
      <c r="Q61" s="1"/>
      <c r="R61" s="1"/>
      <c r="S61" s="1"/>
      <c r="T61" s="1"/>
      <c r="U61" s="1"/>
      <c r="V61" s="1"/>
      <c r="W61" s="1"/>
      <c r="X61" s="1"/>
      <c r="AA61" s="419"/>
      <c r="AB61" s="419"/>
      <c r="AC61" s="419"/>
      <c r="AD61" s="419"/>
      <c r="AE61" s="419"/>
      <c r="AF61" s="419"/>
      <c r="AK61" s="444"/>
      <c r="AL61" s="444"/>
    </row>
    <row r="62" spans="1:38" ht="18" customHeight="1" x14ac:dyDescent="0.25">
      <c r="A62" s="1"/>
      <c r="L62" s="547" t="s">
        <v>381</v>
      </c>
      <c r="M62" s="247">
        <f>M60-M61</f>
        <v>0</v>
      </c>
      <c r="N62" t="s">
        <v>382</v>
      </c>
      <c r="O62" s="247" t="e">
        <f>O60-O61</f>
        <v>#DIV/0!</v>
      </c>
      <c r="P62" s="1" t="s">
        <v>383</v>
      </c>
      <c r="Q62" s="1"/>
      <c r="R62" s="1"/>
      <c r="S62" s="1"/>
      <c r="T62" s="1"/>
      <c r="U62" s="1"/>
      <c r="V62" s="1"/>
      <c r="W62" s="1"/>
      <c r="X62" s="1"/>
      <c r="AA62" s="419"/>
      <c r="AB62" s="419"/>
      <c r="AC62" s="419"/>
      <c r="AD62" s="419"/>
      <c r="AE62" s="419"/>
      <c r="AF62" s="419"/>
      <c r="AK62" s="444"/>
      <c r="AL62" s="444"/>
    </row>
    <row r="63" spans="1:38" ht="18" customHeight="1" x14ac:dyDescent="0.25">
      <c r="A63" s="1"/>
      <c r="B63" s="446"/>
      <c r="L63" s="245"/>
      <c r="M63"/>
      <c r="N63"/>
      <c r="O63"/>
      <c r="P63" s="1"/>
      <c r="Q63" s="1"/>
      <c r="R63" s="1"/>
      <c r="S63" s="1"/>
      <c r="T63" s="1"/>
      <c r="U63" s="1"/>
      <c r="V63" s="1"/>
      <c r="W63" s="1"/>
      <c r="X63" s="1"/>
      <c r="AA63" s="419"/>
      <c r="AB63" s="419"/>
      <c r="AC63" s="419"/>
      <c r="AD63" s="419"/>
      <c r="AE63" s="419"/>
      <c r="AF63" s="419"/>
      <c r="AK63" s="444"/>
      <c r="AL63" s="444"/>
    </row>
    <row r="64" spans="1:38" ht="18" customHeight="1" x14ac:dyDescent="0.25">
      <c r="A64" s="1"/>
      <c r="B64" s="446"/>
      <c r="L64" s="245"/>
      <c r="M64"/>
      <c r="N64"/>
      <c r="O64"/>
      <c r="P64" s="1"/>
      <c r="Q64" s="1"/>
      <c r="R64" s="1"/>
      <c r="S64" s="1"/>
      <c r="T64" s="1"/>
      <c r="U64" s="1"/>
      <c r="V64" s="1"/>
      <c r="W64" s="1"/>
      <c r="X64" s="1"/>
      <c r="AA64" s="419"/>
      <c r="AB64" s="419"/>
      <c r="AC64" s="419"/>
      <c r="AD64" s="419"/>
      <c r="AE64" s="419"/>
      <c r="AF64" s="419"/>
      <c r="AK64" s="444"/>
      <c r="AL64" s="444"/>
    </row>
    <row r="65" spans="1:38" ht="18" customHeight="1" x14ac:dyDescent="0.25">
      <c r="A65" s="1"/>
      <c r="B65" s="446"/>
      <c r="L65" s="245"/>
      <c r="M65"/>
      <c r="N65"/>
      <c r="O65"/>
      <c r="P65" s="1"/>
      <c r="Q65" s="1"/>
      <c r="R65" s="1"/>
      <c r="S65" s="1"/>
      <c r="T65" s="1"/>
      <c r="U65" s="1"/>
      <c r="V65" s="1"/>
      <c r="W65" s="1"/>
      <c r="X65" s="1"/>
      <c r="AA65" s="419"/>
      <c r="AB65" s="419"/>
      <c r="AC65" s="419"/>
      <c r="AD65" s="419"/>
      <c r="AE65" s="419"/>
      <c r="AF65" s="419"/>
      <c r="AK65" s="444"/>
      <c r="AL65" s="444"/>
    </row>
    <row r="66" spans="1:38" ht="18" customHeight="1" x14ac:dyDescent="0.25">
      <c r="A66" s="1"/>
      <c r="B66" s="446" t="s">
        <v>561</v>
      </c>
      <c r="L66" s="245"/>
      <c r="M66"/>
      <c r="N66"/>
      <c r="O66"/>
      <c r="P66" s="1"/>
      <c r="Q66" s="1"/>
      <c r="R66" s="1"/>
      <c r="S66" s="1"/>
      <c r="T66" s="1"/>
      <c r="U66" s="1"/>
      <c r="V66" s="1"/>
      <c r="W66" s="1"/>
      <c r="X66" s="1"/>
      <c r="AA66" s="419"/>
      <c r="AB66" s="419"/>
      <c r="AC66" s="419"/>
      <c r="AD66" s="419"/>
      <c r="AE66" s="419"/>
      <c r="AF66" s="419"/>
      <c r="AK66" s="444"/>
      <c r="AL66" s="444"/>
    </row>
    <row r="67" spans="1:38" ht="18" customHeight="1" x14ac:dyDescent="0.2">
      <c r="A67" s="1"/>
      <c r="M67" s="1"/>
      <c r="N67" s="1"/>
      <c r="O67" s="1"/>
      <c r="P67" s="1"/>
      <c r="Q67" s="1"/>
      <c r="R67" s="1"/>
      <c r="S67" s="1"/>
      <c r="T67" s="1"/>
      <c r="U67" s="1"/>
      <c r="V67" s="1"/>
      <c r="W67" s="1"/>
      <c r="X67" s="1"/>
      <c r="AA67" s="419"/>
      <c r="AB67" s="419"/>
      <c r="AC67" s="419"/>
      <c r="AD67" s="419"/>
      <c r="AE67" s="419"/>
      <c r="AF67" s="419"/>
      <c r="AK67" s="444"/>
      <c r="AL67" s="444"/>
    </row>
    <row r="68" spans="1:38" ht="33" customHeight="1" x14ac:dyDescent="0.2">
      <c r="A68" s="1"/>
      <c r="C68" s="407" t="s">
        <v>709</v>
      </c>
      <c r="D68" s="407" t="s">
        <v>710</v>
      </c>
      <c r="E68" s="407" t="s">
        <v>711</v>
      </c>
      <c r="F68" s="407" t="s">
        <v>712</v>
      </c>
      <c r="G68" s="407" t="s">
        <v>713</v>
      </c>
      <c r="H68" s="407" t="s">
        <v>714</v>
      </c>
      <c r="I68" s="407" t="s">
        <v>715</v>
      </c>
      <c r="J68" s="407" t="s">
        <v>716</v>
      </c>
      <c r="K68" s="407" t="s">
        <v>717</v>
      </c>
      <c r="L68" s="407" t="s">
        <v>718</v>
      </c>
      <c r="M68" s="407" t="s">
        <v>719</v>
      </c>
      <c r="O68" s="1"/>
      <c r="P68" s="1"/>
      <c r="Q68" s="1"/>
      <c r="R68" s="1"/>
      <c r="S68" s="1"/>
      <c r="T68" s="1"/>
      <c r="U68" s="1"/>
      <c r="V68" s="1"/>
      <c r="W68" s="1"/>
      <c r="X68" s="1"/>
      <c r="AA68" s="419"/>
      <c r="AB68" s="419"/>
      <c r="AC68" s="419"/>
      <c r="AD68" s="419"/>
      <c r="AE68" s="419"/>
      <c r="AF68" s="419"/>
      <c r="AK68" s="444"/>
      <c r="AL68" s="444"/>
    </row>
    <row r="69" spans="1:38" ht="18" customHeight="1" x14ac:dyDescent="0.2">
      <c r="A69" s="1"/>
      <c r="B69" s="419" t="str">
        <f t="shared" ref="B69:B74" si="29">B54</f>
        <v>Mob 1</v>
      </c>
      <c r="C69" s="448"/>
      <c r="D69" s="411">
        <f t="shared" ref="D69:D74" si="30">C69*L54</f>
        <v>0</v>
      </c>
      <c r="E69" s="449"/>
      <c r="F69" s="449"/>
      <c r="G69" s="449"/>
      <c r="H69" s="411">
        <f t="shared" ref="H69:H74" si="31">(E69*H54)+(F69*H54)+G69</f>
        <v>0</v>
      </c>
      <c r="I69" s="450"/>
      <c r="J69" s="451"/>
      <c r="K69" s="450"/>
      <c r="L69" s="411">
        <f t="shared" ref="L69:L74" si="32">IF(K69=0,0,IF(H54&lt;=0,0,H54*I69*J69/K69))</f>
        <v>0</v>
      </c>
      <c r="M69" s="433">
        <f t="shared" ref="M69:M74" si="33">IF(L69&lt;=0,0,L69/H54)</f>
        <v>0</v>
      </c>
      <c r="O69" s="1"/>
      <c r="P69" s="1"/>
      <c r="Q69" s="1"/>
      <c r="R69" s="1"/>
      <c r="S69" s="1"/>
      <c r="T69" s="1"/>
      <c r="U69" s="1"/>
      <c r="V69" s="1"/>
      <c r="W69" s="1"/>
      <c r="X69" s="1"/>
      <c r="AA69" s="419"/>
      <c r="AB69" s="419"/>
      <c r="AC69" s="419"/>
      <c r="AD69" s="419"/>
      <c r="AE69" s="419"/>
      <c r="AF69" s="419"/>
      <c r="AK69" s="444"/>
      <c r="AL69" s="444"/>
    </row>
    <row r="70" spans="1:38" ht="18" customHeight="1" x14ac:dyDescent="0.2">
      <c r="A70" s="1"/>
      <c r="B70" s="419" t="str">
        <f t="shared" si="29"/>
        <v>Mob 2</v>
      </c>
      <c r="C70" s="448"/>
      <c r="D70" s="411">
        <f t="shared" si="30"/>
        <v>0</v>
      </c>
      <c r="E70" s="449"/>
      <c r="F70" s="449"/>
      <c r="G70" s="449"/>
      <c r="H70" s="411">
        <f t="shared" si="31"/>
        <v>0</v>
      </c>
      <c r="I70" s="450"/>
      <c r="J70" s="451"/>
      <c r="K70" s="450"/>
      <c r="L70" s="411">
        <f t="shared" si="32"/>
        <v>0</v>
      </c>
      <c r="M70" s="433">
        <f t="shared" si="33"/>
        <v>0</v>
      </c>
      <c r="O70" s="1"/>
      <c r="P70" s="1"/>
      <c r="Q70" s="1"/>
      <c r="R70" s="1"/>
      <c r="S70" s="1"/>
      <c r="T70" s="1"/>
      <c r="U70" s="1"/>
      <c r="V70" s="1"/>
      <c r="W70" s="1"/>
      <c r="X70" s="1"/>
      <c r="AA70" s="419"/>
      <c r="AB70" s="419"/>
      <c r="AC70" s="419"/>
      <c r="AD70" s="419"/>
      <c r="AE70" s="419"/>
      <c r="AF70" s="419"/>
      <c r="AK70" s="444"/>
      <c r="AL70" s="444"/>
    </row>
    <row r="71" spans="1:38" ht="18" customHeight="1" x14ac:dyDescent="0.2">
      <c r="A71" s="1"/>
      <c r="B71" s="419" t="str">
        <f t="shared" si="29"/>
        <v>Mob 3</v>
      </c>
      <c r="C71" s="448"/>
      <c r="D71" s="411">
        <f t="shared" si="30"/>
        <v>0</v>
      </c>
      <c r="E71" s="449"/>
      <c r="F71" s="449"/>
      <c r="G71" s="449"/>
      <c r="H71" s="411">
        <f t="shared" si="31"/>
        <v>0</v>
      </c>
      <c r="I71" s="450"/>
      <c r="J71" s="451"/>
      <c r="K71" s="450"/>
      <c r="L71" s="411">
        <f t="shared" si="32"/>
        <v>0</v>
      </c>
      <c r="M71" s="433">
        <f t="shared" si="33"/>
        <v>0</v>
      </c>
      <c r="O71" s="1"/>
      <c r="P71" s="1"/>
      <c r="Q71" s="1"/>
      <c r="R71" s="1"/>
      <c r="S71" s="1"/>
      <c r="T71" s="1"/>
      <c r="U71" s="1"/>
      <c r="V71" s="1"/>
      <c r="W71" s="1"/>
      <c r="X71" s="1"/>
      <c r="AI71" s="444"/>
      <c r="AJ71" s="444"/>
      <c r="AK71" s="444"/>
      <c r="AL71" s="444"/>
    </row>
    <row r="72" spans="1:38" ht="18" customHeight="1" x14ac:dyDescent="0.2">
      <c r="A72" s="1"/>
      <c r="B72" s="419" t="str">
        <f t="shared" si="29"/>
        <v>Mob 4</v>
      </c>
      <c r="C72" s="448"/>
      <c r="D72" s="411">
        <f t="shared" si="30"/>
        <v>0</v>
      </c>
      <c r="E72" s="449"/>
      <c r="F72" s="449"/>
      <c r="G72" s="449"/>
      <c r="H72" s="411">
        <f t="shared" si="31"/>
        <v>0</v>
      </c>
      <c r="I72" s="450"/>
      <c r="J72" s="451"/>
      <c r="K72" s="450"/>
      <c r="L72" s="411">
        <f t="shared" si="32"/>
        <v>0</v>
      </c>
      <c r="M72" s="433">
        <f t="shared" si="33"/>
        <v>0</v>
      </c>
      <c r="O72" s="1"/>
      <c r="P72" s="1"/>
      <c r="Q72" s="1"/>
      <c r="R72" s="1"/>
      <c r="S72" s="1"/>
      <c r="T72" s="1"/>
      <c r="U72" s="1"/>
      <c r="V72" s="1"/>
      <c r="W72" s="1"/>
      <c r="X72" s="1"/>
      <c r="AI72" s="444"/>
      <c r="AJ72" s="444"/>
      <c r="AK72" s="444"/>
      <c r="AL72" s="444"/>
    </row>
    <row r="73" spans="1:38" ht="18" customHeight="1" x14ac:dyDescent="0.2">
      <c r="A73" s="1"/>
      <c r="B73" s="419" t="str">
        <f t="shared" si="29"/>
        <v>Mob 5</v>
      </c>
      <c r="C73" s="448"/>
      <c r="D73" s="411">
        <f t="shared" si="30"/>
        <v>0</v>
      </c>
      <c r="E73" s="449"/>
      <c r="F73" s="449"/>
      <c r="G73" s="449"/>
      <c r="H73" s="411">
        <f t="shared" si="31"/>
        <v>0</v>
      </c>
      <c r="I73" s="450"/>
      <c r="J73" s="451"/>
      <c r="K73" s="450"/>
      <c r="L73" s="411">
        <f t="shared" si="32"/>
        <v>0</v>
      </c>
      <c r="M73" s="433">
        <f t="shared" si="33"/>
        <v>0</v>
      </c>
      <c r="O73" s="1"/>
      <c r="P73" s="1"/>
      <c r="Q73" s="1"/>
      <c r="R73" s="1"/>
      <c r="S73" s="1"/>
      <c r="T73" s="1"/>
      <c r="U73" s="1"/>
      <c r="V73" s="1"/>
      <c r="W73" s="1"/>
      <c r="X73" s="1"/>
      <c r="Y73"/>
      <c r="Z73"/>
      <c r="AA73"/>
      <c r="AB73"/>
      <c r="AC73"/>
      <c r="AD73"/>
      <c r="AE73"/>
      <c r="AF73"/>
      <c r="AI73" s="444"/>
      <c r="AJ73" s="444"/>
      <c r="AK73" s="444"/>
      <c r="AL73" s="444"/>
    </row>
    <row r="74" spans="1:38" ht="18" customHeight="1" x14ac:dyDescent="0.2">
      <c r="A74" s="1"/>
      <c r="B74" s="419" t="str">
        <f t="shared" si="29"/>
        <v>Mob 6</v>
      </c>
      <c r="C74" s="448"/>
      <c r="D74" s="411">
        <f t="shared" si="30"/>
        <v>0</v>
      </c>
      <c r="E74" s="449"/>
      <c r="F74" s="449"/>
      <c r="G74" s="449"/>
      <c r="H74" s="411">
        <f t="shared" si="31"/>
        <v>0</v>
      </c>
      <c r="I74" s="450"/>
      <c r="J74" s="451"/>
      <c r="K74" s="450"/>
      <c r="L74" s="411">
        <f t="shared" si="32"/>
        <v>0</v>
      </c>
      <c r="M74" s="433">
        <f t="shared" si="33"/>
        <v>0</v>
      </c>
      <c r="O74" s="1"/>
      <c r="P74" s="1"/>
      <c r="Q74" s="1"/>
      <c r="R74" s="1"/>
      <c r="S74" s="1"/>
      <c r="T74" s="1"/>
      <c r="U74" s="1"/>
      <c r="V74" s="1"/>
      <c r="W74" s="1"/>
      <c r="X74" s="1"/>
      <c r="Y74"/>
      <c r="Z74"/>
      <c r="AA74"/>
      <c r="AB74"/>
      <c r="AC74"/>
      <c r="AD74"/>
      <c r="AE74"/>
      <c r="AF74"/>
      <c r="AI74" s="444"/>
      <c r="AJ74" s="444"/>
      <c r="AK74" s="444"/>
      <c r="AL74" s="444"/>
    </row>
    <row r="75" spans="1:38" ht="18" customHeight="1" thickBot="1" x14ac:dyDescent="0.25">
      <c r="A75" s="1"/>
      <c r="C75" s="1"/>
      <c r="D75" s="440">
        <f>SUM(D69:D74)</f>
        <v>0</v>
      </c>
      <c r="E75" s="1"/>
      <c r="F75" s="1"/>
      <c r="G75" s="1"/>
      <c r="H75" s="440">
        <f>SUM(H69:H74)</f>
        <v>0</v>
      </c>
      <c r="I75" s="1"/>
      <c r="J75" s="1"/>
      <c r="K75" s="1"/>
      <c r="L75" s="440">
        <f>SUM(L69:L74)</f>
        <v>0</v>
      </c>
      <c r="M75" s="1"/>
      <c r="O75" s="1"/>
      <c r="P75" s="1"/>
      <c r="Q75" s="1"/>
      <c r="R75" s="1"/>
      <c r="S75" s="1"/>
      <c r="T75" s="1"/>
      <c r="U75" s="1"/>
      <c r="V75" s="1"/>
      <c r="W75" s="1"/>
      <c r="X75" s="1"/>
      <c r="Y75"/>
      <c r="Z75"/>
      <c r="AA75"/>
      <c r="AB75"/>
      <c r="AC75"/>
      <c r="AD75"/>
      <c r="AE75"/>
      <c r="AF75"/>
      <c r="AI75" s="444"/>
      <c r="AJ75" s="444"/>
      <c r="AK75" s="444"/>
      <c r="AL75" s="444"/>
    </row>
    <row r="76" spans="1:38" ht="18" customHeight="1" thickTop="1" x14ac:dyDescent="0.2">
      <c r="A76" s="1"/>
      <c r="B76" s="1"/>
      <c r="C76" s="1"/>
      <c r="D76" s="1"/>
      <c r="E76" s="1"/>
      <c r="F76" s="1"/>
      <c r="G76" s="1"/>
      <c r="H76" s="1"/>
      <c r="I76" s="1"/>
      <c r="J76" s="1"/>
      <c r="K76" s="1"/>
      <c r="L76" s="1"/>
      <c r="M76" s="1"/>
      <c r="N76" s="1"/>
      <c r="O76" s="1"/>
      <c r="P76" s="1"/>
      <c r="Q76" s="1"/>
      <c r="R76" s="1"/>
      <c r="S76" s="1"/>
      <c r="T76" s="1"/>
      <c r="U76" s="1"/>
      <c r="V76" s="1"/>
      <c r="W76" s="1"/>
      <c r="X76" s="1"/>
      <c r="Y76"/>
      <c r="Z76"/>
      <c r="AA76"/>
      <c r="AB76"/>
      <c r="AC76"/>
      <c r="AD76"/>
      <c r="AE76"/>
      <c r="AF76"/>
      <c r="AI76" s="444"/>
      <c r="AJ76" s="444"/>
      <c r="AK76" s="444"/>
      <c r="AL76" s="444"/>
    </row>
    <row r="77" spans="1:38" ht="18" customHeight="1" x14ac:dyDescent="0.2">
      <c r="A77" s="1"/>
      <c r="L77" s="1"/>
      <c r="M77" s="1"/>
      <c r="N77" s="1"/>
      <c r="O77" s="1"/>
      <c r="P77" s="1"/>
      <c r="Q77" s="1"/>
      <c r="R77" s="1"/>
      <c r="S77" s="1"/>
      <c r="T77" s="1"/>
      <c r="U77" s="1"/>
      <c r="V77" s="1"/>
      <c r="W77" s="1"/>
      <c r="X77" s="1"/>
      <c r="Y77"/>
      <c r="Z77"/>
      <c r="AA77"/>
      <c r="AB77"/>
      <c r="AC77"/>
      <c r="AD77"/>
      <c r="AE77"/>
      <c r="AF77"/>
      <c r="AI77" s="444"/>
      <c r="AJ77" s="444"/>
      <c r="AK77" s="444"/>
      <c r="AL77" s="444"/>
    </row>
    <row r="78" spans="1:38" ht="18" customHeight="1" x14ac:dyDescent="0.2">
      <c r="A78" s="1"/>
      <c r="B78" s="1"/>
      <c r="C78" s="1"/>
      <c r="D78" s="1"/>
      <c r="E78" s="1"/>
      <c r="F78" s="1"/>
      <c r="G78" s="1"/>
      <c r="H78" s="1"/>
      <c r="I78" s="1"/>
      <c r="J78" s="1"/>
      <c r="K78" s="1"/>
      <c r="L78" s="1"/>
      <c r="M78" s="1"/>
      <c r="N78" s="1"/>
      <c r="O78" s="1"/>
      <c r="P78" s="1"/>
      <c r="Q78" s="1"/>
      <c r="R78" s="1"/>
      <c r="S78" s="1"/>
      <c r="T78" s="1"/>
      <c r="U78" s="1"/>
      <c r="V78" s="1"/>
      <c r="W78" s="1"/>
      <c r="X78" s="1"/>
      <c r="AA78" s="419"/>
      <c r="AB78" s="419"/>
      <c r="AC78" s="419"/>
      <c r="AD78" s="419"/>
      <c r="AE78" s="419"/>
      <c r="AF78" s="419"/>
      <c r="AI78" s="444"/>
      <c r="AJ78" s="444"/>
      <c r="AK78" s="444"/>
      <c r="AL78" s="444"/>
    </row>
    <row r="79" spans="1:38" ht="18" customHeight="1" x14ac:dyDescent="0.25">
      <c r="A79" s="1"/>
      <c r="B79" s="5" t="s">
        <v>396</v>
      </c>
      <c r="C79" s="1"/>
      <c r="D79" s="1"/>
      <c r="E79" s="1"/>
      <c r="F79" s="1"/>
      <c r="G79" s="1"/>
      <c r="H79" s="1"/>
      <c r="I79" s="1"/>
      <c r="J79" s="1"/>
      <c r="K79" s="1"/>
      <c r="L79" s="1"/>
      <c r="M79" s="1"/>
      <c r="N79" s="1"/>
      <c r="O79" s="1"/>
      <c r="P79" s="1"/>
      <c r="Q79" s="1"/>
      <c r="R79" s="1"/>
      <c r="S79" s="1"/>
      <c r="T79" s="1"/>
      <c r="U79" s="1"/>
      <c r="V79" s="1"/>
      <c r="W79" s="1"/>
      <c r="X79" s="1"/>
      <c r="AA79" s="419"/>
      <c r="AB79" s="419"/>
      <c r="AC79" s="419"/>
      <c r="AD79" s="419"/>
      <c r="AE79" s="419"/>
      <c r="AF79" s="419"/>
      <c r="AI79" s="444"/>
      <c r="AJ79" s="444"/>
      <c r="AK79" s="444"/>
      <c r="AL79" s="444"/>
    </row>
    <row r="80" spans="1:38" x14ac:dyDescent="0.2">
      <c r="A80" s="1"/>
      <c r="B80" s="1"/>
      <c r="C80" s="1"/>
      <c r="D80" s="1"/>
      <c r="E80" s="1"/>
      <c r="F80" s="1"/>
      <c r="G80" s="1"/>
      <c r="H80" s="1"/>
      <c r="I80" s="1"/>
      <c r="J80" s="1"/>
      <c r="K80" s="1"/>
      <c r="L80" s="1"/>
      <c r="M80" s="1"/>
      <c r="N80" s="1"/>
      <c r="O80" s="1"/>
      <c r="P80" s="1"/>
      <c r="Q80" s="1"/>
      <c r="R80" s="1"/>
      <c r="S80" s="1"/>
      <c r="T80" s="1"/>
      <c r="U80" s="1"/>
      <c r="V80" s="1"/>
      <c r="W80" s="1"/>
      <c r="X80" s="1"/>
      <c r="AA80" s="419"/>
      <c r="AB80" s="419"/>
      <c r="AC80" s="419"/>
      <c r="AD80" s="419"/>
      <c r="AE80" s="419"/>
      <c r="AF80" s="419"/>
      <c r="AI80" s="444"/>
      <c r="AJ80" s="444"/>
      <c r="AK80" s="444"/>
      <c r="AL80" s="444"/>
    </row>
    <row r="81" spans="1:32" ht="33" customHeight="1" x14ac:dyDescent="0.2">
      <c r="A81" s="1"/>
      <c r="B81" s="1"/>
      <c r="C81" s="408" t="s">
        <v>892</v>
      </c>
      <c r="D81" s="408" t="s">
        <v>721</v>
      </c>
      <c r="E81" s="408" t="s">
        <v>722</v>
      </c>
      <c r="F81" s="408" t="s">
        <v>723</v>
      </c>
      <c r="G81" s="408" t="s">
        <v>724</v>
      </c>
      <c r="H81" s="408" t="s">
        <v>725</v>
      </c>
      <c r="I81" s="1"/>
      <c r="J81" s="1"/>
      <c r="K81" s="1"/>
      <c r="L81" s="1"/>
      <c r="M81" s="1"/>
      <c r="N81" s="1"/>
      <c r="O81" s="1"/>
      <c r="P81" s="1"/>
      <c r="Q81" s="1"/>
      <c r="R81" s="1"/>
      <c r="S81" s="1"/>
      <c r="T81" s="1"/>
      <c r="U81" s="1"/>
      <c r="V81" s="1"/>
      <c r="W81" s="1"/>
      <c r="X81" s="1"/>
      <c r="AA81" s="419"/>
      <c r="AB81" s="419"/>
      <c r="AC81" s="419"/>
      <c r="AD81" s="419"/>
      <c r="AE81" s="419"/>
      <c r="AF81" s="419"/>
    </row>
    <row r="82" spans="1:32" x14ac:dyDescent="0.2">
      <c r="A82" s="1"/>
      <c r="B82" s="1" t="s">
        <v>698</v>
      </c>
      <c r="C82" s="409">
        <f t="shared" ref="C82:C87" si="34">C41</f>
        <v>0</v>
      </c>
      <c r="D82" s="409">
        <f t="shared" ref="D82:D87" si="35">D54</f>
        <v>0</v>
      </c>
      <c r="E82" s="411">
        <f t="shared" ref="E82:E87" si="36">G16</f>
        <v>0</v>
      </c>
      <c r="F82" s="411">
        <f t="shared" ref="F82:F87" si="37">E82*C82</f>
        <v>0</v>
      </c>
      <c r="G82" s="452">
        <v>0.05</v>
      </c>
      <c r="H82" s="411">
        <f t="shared" ref="H82:H87" si="38">F82*G82*D82/365</f>
        <v>0</v>
      </c>
      <c r="I82" s="1"/>
      <c r="J82" s="1"/>
      <c r="K82" s="1"/>
      <c r="L82" s="1"/>
      <c r="M82" s="1"/>
      <c r="N82" s="1"/>
      <c r="O82" s="1"/>
      <c r="P82" s="1"/>
      <c r="Q82" s="1"/>
      <c r="R82" s="1"/>
      <c r="S82" s="1"/>
      <c r="T82" s="1"/>
      <c r="U82" s="1"/>
      <c r="V82" s="1"/>
      <c r="W82" s="1"/>
      <c r="X82" s="1"/>
      <c r="AA82" s="419"/>
      <c r="AB82" s="419"/>
      <c r="AC82" s="419"/>
      <c r="AD82" s="419"/>
      <c r="AE82" s="419"/>
      <c r="AF82" s="419"/>
    </row>
    <row r="83" spans="1:32" x14ac:dyDescent="0.2">
      <c r="A83" s="1"/>
      <c r="B83" s="1" t="s">
        <v>699</v>
      </c>
      <c r="C83" s="409">
        <f t="shared" si="34"/>
        <v>0</v>
      </c>
      <c r="D83" s="409">
        <f t="shared" si="35"/>
        <v>0</v>
      </c>
      <c r="E83" s="411">
        <f t="shared" si="36"/>
        <v>0</v>
      </c>
      <c r="F83" s="411">
        <f t="shared" si="37"/>
        <v>0</v>
      </c>
      <c r="G83" s="452">
        <v>0.05</v>
      </c>
      <c r="H83" s="411">
        <f t="shared" si="38"/>
        <v>0</v>
      </c>
      <c r="I83" s="1"/>
      <c r="J83" s="1"/>
      <c r="K83" s="1"/>
      <c r="L83" s="1"/>
      <c r="M83" s="1"/>
      <c r="N83" s="1"/>
      <c r="O83" s="1"/>
      <c r="P83" s="1"/>
      <c r="Q83" s="1"/>
      <c r="R83" s="1"/>
      <c r="S83" s="1"/>
      <c r="T83" s="1"/>
      <c r="U83" s="1"/>
      <c r="V83" s="1"/>
      <c r="W83" s="1"/>
      <c r="X83" s="1"/>
      <c r="AA83" s="419"/>
      <c r="AB83" s="419"/>
      <c r="AC83" s="419"/>
      <c r="AD83" s="419"/>
      <c r="AE83" s="419"/>
      <c r="AF83" s="419"/>
    </row>
    <row r="84" spans="1:32" x14ac:dyDescent="0.2">
      <c r="A84" s="1"/>
      <c r="B84" s="1" t="s">
        <v>700</v>
      </c>
      <c r="C84" s="409">
        <f t="shared" si="34"/>
        <v>0</v>
      </c>
      <c r="D84" s="409">
        <f t="shared" si="35"/>
        <v>0</v>
      </c>
      <c r="E84" s="411">
        <f t="shared" si="36"/>
        <v>0</v>
      </c>
      <c r="F84" s="411">
        <f t="shared" si="37"/>
        <v>0</v>
      </c>
      <c r="G84" s="452">
        <v>0.05</v>
      </c>
      <c r="H84" s="411">
        <f t="shared" si="38"/>
        <v>0</v>
      </c>
      <c r="I84" s="1"/>
      <c r="J84" s="1"/>
      <c r="K84" s="1"/>
      <c r="L84" s="1"/>
      <c r="M84" s="1"/>
      <c r="N84" s="1"/>
      <c r="O84" s="1"/>
      <c r="P84" s="1"/>
      <c r="Q84" s="1"/>
      <c r="R84" s="1"/>
      <c r="S84" s="1"/>
      <c r="T84" s="1"/>
      <c r="U84" s="1"/>
      <c r="V84" s="1"/>
      <c r="W84" s="1"/>
      <c r="X84" s="1"/>
      <c r="AA84" s="419"/>
      <c r="AB84" s="419"/>
      <c r="AC84" s="419"/>
      <c r="AD84" s="419"/>
      <c r="AE84" s="419"/>
      <c r="AF84" s="419"/>
    </row>
    <row r="85" spans="1:32" x14ac:dyDescent="0.2">
      <c r="A85" s="1"/>
      <c r="B85" s="1" t="s">
        <v>701</v>
      </c>
      <c r="C85" s="409">
        <f t="shared" si="34"/>
        <v>0</v>
      </c>
      <c r="D85" s="409">
        <f t="shared" si="35"/>
        <v>0</v>
      </c>
      <c r="E85" s="411">
        <f t="shared" si="36"/>
        <v>0</v>
      </c>
      <c r="F85" s="411">
        <f t="shared" si="37"/>
        <v>0</v>
      </c>
      <c r="G85" s="452">
        <v>0.05</v>
      </c>
      <c r="H85" s="411">
        <f t="shared" si="38"/>
        <v>0</v>
      </c>
      <c r="I85" s="1"/>
      <c r="J85" s="1"/>
      <c r="K85" s="1"/>
      <c r="L85" s="1"/>
      <c r="M85" s="1"/>
      <c r="N85" s="1"/>
      <c r="O85" s="1"/>
      <c r="P85" s="1"/>
      <c r="Q85" s="1"/>
      <c r="R85" s="1"/>
      <c r="S85" s="1"/>
      <c r="T85" s="1"/>
      <c r="U85" s="1"/>
      <c r="V85" s="1"/>
      <c r="W85" s="1"/>
      <c r="X85" s="1"/>
      <c r="AA85" s="419"/>
      <c r="AB85" s="419"/>
      <c r="AC85" s="419"/>
      <c r="AD85" s="419"/>
      <c r="AE85" s="419"/>
      <c r="AF85" s="419"/>
    </row>
    <row r="86" spans="1:32" x14ac:dyDescent="0.2">
      <c r="A86" s="1"/>
      <c r="B86" s="1" t="s">
        <v>702</v>
      </c>
      <c r="C86" s="409">
        <f t="shared" si="34"/>
        <v>0</v>
      </c>
      <c r="D86" s="409">
        <f t="shared" si="35"/>
        <v>0</v>
      </c>
      <c r="E86" s="411">
        <f t="shared" si="36"/>
        <v>0</v>
      </c>
      <c r="F86" s="411">
        <f t="shared" si="37"/>
        <v>0</v>
      </c>
      <c r="G86" s="452">
        <v>0.05</v>
      </c>
      <c r="H86" s="411">
        <f t="shared" si="38"/>
        <v>0</v>
      </c>
      <c r="I86" s="1"/>
      <c r="J86" s="1"/>
      <c r="K86" s="1"/>
      <c r="L86" s="1"/>
      <c r="M86" s="1"/>
      <c r="N86" s="1"/>
      <c r="O86" s="1"/>
      <c r="P86" s="1"/>
      <c r="Q86" s="1"/>
      <c r="R86" s="1"/>
      <c r="S86" s="1"/>
      <c r="T86" s="1"/>
      <c r="U86" s="1"/>
      <c r="V86" s="1"/>
      <c r="W86" s="1"/>
      <c r="X86" s="1"/>
      <c r="AA86" s="419"/>
      <c r="AB86" s="419"/>
      <c r="AC86" s="419"/>
      <c r="AD86" s="419"/>
      <c r="AE86" s="419"/>
      <c r="AF86" s="419"/>
    </row>
    <row r="87" spans="1:32" x14ac:dyDescent="0.2">
      <c r="A87" s="1"/>
      <c r="B87" s="1" t="s">
        <v>703</v>
      </c>
      <c r="C87" s="409">
        <f t="shared" si="34"/>
        <v>0</v>
      </c>
      <c r="D87" s="409">
        <f t="shared" si="35"/>
        <v>0</v>
      </c>
      <c r="E87" s="411">
        <f t="shared" si="36"/>
        <v>0</v>
      </c>
      <c r="F87" s="411">
        <f t="shared" si="37"/>
        <v>0</v>
      </c>
      <c r="G87" s="452">
        <v>0.05</v>
      </c>
      <c r="H87" s="411">
        <f t="shared" si="38"/>
        <v>0</v>
      </c>
      <c r="I87" s="1"/>
      <c r="J87" s="1"/>
      <c r="K87" s="1"/>
      <c r="L87" s="1"/>
      <c r="M87" s="1"/>
      <c r="N87" s="1"/>
      <c r="O87" s="1"/>
      <c r="P87" s="1"/>
      <c r="Q87" s="1"/>
      <c r="R87" s="1"/>
      <c r="S87" s="1"/>
      <c r="T87" s="1"/>
      <c r="U87" s="1"/>
      <c r="V87" s="1"/>
      <c r="W87" s="1"/>
      <c r="X87" s="1"/>
      <c r="AA87" s="419"/>
      <c r="AB87" s="419"/>
      <c r="AC87" s="419"/>
      <c r="AD87" s="419"/>
      <c r="AE87" s="419"/>
      <c r="AF87" s="419"/>
    </row>
    <row r="88" spans="1:32" ht="15.75" thickBot="1" x14ac:dyDescent="0.25">
      <c r="A88" s="1"/>
      <c r="B88" s="1"/>
      <c r="C88" s="1"/>
      <c r="D88" s="1"/>
      <c r="E88" s="1"/>
      <c r="F88" s="1" t="s">
        <v>726</v>
      </c>
      <c r="G88" s="1"/>
      <c r="H88" s="440">
        <f>SUM(H82:H87)</f>
        <v>0</v>
      </c>
      <c r="I88" s="1"/>
      <c r="J88" s="1"/>
      <c r="K88" s="1"/>
      <c r="L88" s="1"/>
      <c r="M88" s="1"/>
      <c r="N88" s="1"/>
      <c r="O88" s="1"/>
      <c r="P88" s="1"/>
      <c r="Q88" s="1"/>
      <c r="R88" s="1"/>
      <c r="S88" s="1"/>
      <c r="T88" s="1"/>
      <c r="U88" s="1"/>
      <c r="V88" s="1"/>
      <c r="W88" s="1"/>
      <c r="X88" s="1"/>
      <c r="Y88" s="1"/>
      <c r="Z88" s="1"/>
      <c r="AA88" s="6"/>
    </row>
    <row r="89" spans="1:32" ht="15.75" thickTop="1" x14ac:dyDescent="0.2">
      <c r="A89" s="1"/>
      <c r="B89" s="1"/>
      <c r="C89" s="1"/>
      <c r="D89" s="1"/>
      <c r="E89" s="1"/>
      <c r="F89" s="1"/>
      <c r="G89" s="1"/>
      <c r="H89" s="1"/>
      <c r="I89" s="1"/>
      <c r="J89" s="1"/>
      <c r="K89" s="1"/>
      <c r="L89" s="1"/>
      <c r="M89" s="1"/>
      <c r="N89" s="1"/>
      <c r="O89" s="1"/>
      <c r="P89" s="1"/>
      <c r="Q89" s="1"/>
      <c r="R89" s="1"/>
      <c r="S89" s="1"/>
      <c r="T89" s="1"/>
      <c r="U89" s="1"/>
      <c r="V89" s="1"/>
      <c r="W89" s="1"/>
      <c r="X89" s="1"/>
      <c r="Y89" s="1"/>
      <c r="Z89" s="1"/>
      <c r="AA89" s="6"/>
    </row>
    <row r="90" spans="1:32" x14ac:dyDescent="0.2">
      <c r="A90" s="1"/>
      <c r="B90" s="1"/>
      <c r="C90" s="1"/>
      <c r="D90" s="1"/>
      <c r="E90" s="1"/>
      <c r="F90" s="1"/>
      <c r="G90" s="1"/>
      <c r="H90" s="1"/>
      <c r="I90" s="1"/>
      <c r="J90" s="1"/>
      <c r="K90" s="1"/>
      <c r="L90" s="1"/>
      <c r="M90" s="1"/>
      <c r="N90" s="1"/>
      <c r="O90" s="1"/>
      <c r="P90" s="1"/>
      <c r="Q90" s="1"/>
      <c r="R90" s="1"/>
      <c r="S90" s="1"/>
      <c r="T90" s="1"/>
      <c r="U90" s="1"/>
      <c r="V90" s="1"/>
      <c r="W90" s="1"/>
      <c r="X90" s="1"/>
      <c r="Y90" s="1"/>
      <c r="Z90" s="1"/>
      <c r="AA90" s="6"/>
    </row>
    <row r="91" spans="1:32" ht="15.75" x14ac:dyDescent="0.25">
      <c r="A91" s="1"/>
      <c r="B91" s="5" t="s">
        <v>727</v>
      </c>
      <c r="C91" s="1"/>
      <c r="D91" s="1"/>
      <c r="E91" s="1"/>
      <c r="F91" s="1"/>
      <c r="G91" s="1"/>
      <c r="H91" s="1"/>
      <c r="I91" s="1"/>
      <c r="J91" s="1"/>
      <c r="K91" s="1"/>
      <c r="L91" s="1"/>
      <c r="M91" s="1"/>
      <c r="N91" s="1"/>
      <c r="O91" s="1"/>
      <c r="P91" s="1"/>
      <c r="Q91" s="1"/>
      <c r="R91" s="1"/>
      <c r="S91" s="1"/>
      <c r="T91" s="1"/>
      <c r="U91" s="1"/>
      <c r="V91" s="1"/>
      <c r="W91" s="1"/>
      <c r="X91" s="1"/>
      <c r="Y91" s="1"/>
      <c r="Z91" s="1"/>
      <c r="AA91" s="6"/>
    </row>
    <row r="92" spans="1:32" x14ac:dyDescent="0.2">
      <c r="A92" s="1"/>
      <c r="B92" s="1"/>
      <c r="C92" s="1"/>
      <c r="D92" s="1"/>
      <c r="E92" s="1"/>
      <c r="F92" s="1"/>
      <c r="G92" s="1"/>
      <c r="H92" s="1"/>
      <c r="I92" s="1"/>
      <c r="J92" s="1"/>
      <c r="K92" s="1"/>
      <c r="L92" s="1"/>
      <c r="M92" s="1"/>
      <c r="N92" s="1"/>
      <c r="O92" s="1"/>
      <c r="P92" s="1"/>
      <c r="Q92" s="1"/>
      <c r="R92" s="1"/>
      <c r="S92" s="1"/>
      <c r="T92" s="1"/>
      <c r="U92" s="1"/>
      <c r="V92" s="1"/>
      <c r="W92" s="1"/>
      <c r="X92" s="1"/>
      <c r="Y92" s="1"/>
      <c r="Z92" s="1"/>
      <c r="AA92" s="6"/>
    </row>
    <row r="93" spans="1:32" ht="30" x14ac:dyDescent="0.2">
      <c r="A93" s="1"/>
      <c r="B93" s="1"/>
      <c r="C93" s="408" t="s">
        <v>892</v>
      </c>
      <c r="D93" s="408" t="s">
        <v>721</v>
      </c>
      <c r="E93" s="408" t="s">
        <v>728</v>
      </c>
      <c r="F93" s="408" t="s">
        <v>895</v>
      </c>
      <c r="G93" s="408" t="s">
        <v>673</v>
      </c>
      <c r="H93" s="408" t="s">
        <v>731</v>
      </c>
      <c r="I93" s="407" t="s">
        <v>659</v>
      </c>
      <c r="J93" s="407" t="s">
        <v>729</v>
      </c>
      <c r="K93" s="1"/>
      <c r="L93" s="1"/>
      <c r="M93" s="1"/>
      <c r="N93" s="1"/>
      <c r="O93" s="1"/>
      <c r="P93" s="1"/>
      <c r="Q93" s="1"/>
      <c r="R93" s="1"/>
      <c r="S93" s="1"/>
      <c r="T93" s="1"/>
      <c r="U93" s="1"/>
      <c r="V93" s="1"/>
      <c r="W93" s="1"/>
      <c r="X93" s="1"/>
      <c r="Y93" s="1"/>
      <c r="Z93" s="1"/>
      <c r="AA93" s="6"/>
    </row>
    <row r="94" spans="1:32" x14ac:dyDescent="0.2">
      <c r="A94" s="1"/>
      <c r="B94" s="1" t="s">
        <v>698</v>
      </c>
      <c r="C94" s="409">
        <f t="shared" ref="C94:C99" si="39">C41</f>
        <v>0</v>
      </c>
      <c r="D94" s="409">
        <f t="shared" ref="D94:D99" si="40">D54</f>
        <v>0</v>
      </c>
      <c r="E94" s="409">
        <f t="shared" ref="E94:E99" si="41">F16</f>
        <v>0</v>
      </c>
      <c r="F94" s="409">
        <f t="shared" ref="F94:F99" si="42">E54</f>
        <v>0</v>
      </c>
      <c r="G94" s="413">
        <f t="shared" ref="G94:G99" si="43">(POWER(((F94+E94)/2),0.75)/97.7)</f>
        <v>0</v>
      </c>
      <c r="H94" s="413">
        <f t="shared" ref="H94:H99" si="44">D94/365*G94*C94</f>
        <v>0</v>
      </c>
      <c r="I94" s="413">
        <f>IF(D8&lt;=0,0,H94/$D$8)</f>
        <v>0</v>
      </c>
      <c r="J94" s="413">
        <f t="shared" ref="J94:J100" si="45">IF(H94&lt;=0,0,$D$8/H94)</f>
        <v>0</v>
      </c>
      <c r="K94" s="1"/>
      <c r="L94" s="1"/>
      <c r="M94" s="1"/>
      <c r="N94" s="1"/>
      <c r="O94" s="1"/>
      <c r="P94" s="1"/>
      <c r="Q94" s="1"/>
      <c r="R94" s="1"/>
      <c r="S94" s="1"/>
      <c r="T94" s="1"/>
      <c r="U94" s="1"/>
      <c r="V94" s="1"/>
      <c r="W94" s="1"/>
      <c r="X94" s="1"/>
      <c r="Y94" s="1"/>
      <c r="Z94" s="1"/>
      <c r="AA94" s="6"/>
    </row>
    <row r="95" spans="1:32" x14ac:dyDescent="0.2">
      <c r="A95" s="1"/>
      <c r="B95" s="1" t="s">
        <v>699</v>
      </c>
      <c r="C95" s="409">
        <f t="shared" si="39"/>
        <v>0</v>
      </c>
      <c r="D95" s="409">
        <f t="shared" si="40"/>
        <v>0</v>
      </c>
      <c r="E95" s="409">
        <f t="shared" si="41"/>
        <v>0</v>
      </c>
      <c r="F95" s="409">
        <f t="shared" si="42"/>
        <v>0</v>
      </c>
      <c r="G95" s="413">
        <f t="shared" si="43"/>
        <v>0</v>
      </c>
      <c r="H95" s="413">
        <f t="shared" si="44"/>
        <v>0</v>
      </c>
      <c r="I95" s="413">
        <f>IF(D8&lt;=0,0,H95/$D$8)</f>
        <v>0</v>
      </c>
      <c r="J95" s="413">
        <f t="shared" si="45"/>
        <v>0</v>
      </c>
      <c r="K95" s="1"/>
      <c r="L95" s="1"/>
      <c r="M95" s="1"/>
      <c r="N95" s="1"/>
      <c r="O95" s="1"/>
      <c r="P95" s="1"/>
      <c r="Q95" s="1"/>
      <c r="R95" s="1"/>
      <c r="S95" s="1"/>
      <c r="T95" s="1"/>
      <c r="U95" s="1"/>
      <c r="V95" s="1"/>
      <c r="W95" s="1"/>
      <c r="X95" s="1"/>
      <c r="Y95" s="1"/>
      <c r="Z95" s="1"/>
      <c r="AA95" s="6"/>
    </row>
    <row r="96" spans="1:32" x14ac:dyDescent="0.2">
      <c r="A96" s="1"/>
      <c r="B96" s="1" t="s">
        <v>700</v>
      </c>
      <c r="C96" s="409">
        <f t="shared" si="39"/>
        <v>0</v>
      </c>
      <c r="D96" s="409">
        <f t="shared" si="40"/>
        <v>0</v>
      </c>
      <c r="E96" s="409">
        <f t="shared" si="41"/>
        <v>0</v>
      </c>
      <c r="F96" s="409">
        <f t="shared" si="42"/>
        <v>0</v>
      </c>
      <c r="G96" s="413">
        <f t="shared" si="43"/>
        <v>0</v>
      </c>
      <c r="H96" s="413">
        <f t="shared" si="44"/>
        <v>0</v>
      </c>
      <c r="I96" s="413">
        <f>IF(D8&lt;=0,0,H96/$D$8)</f>
        <v>0</v>
      </c>
      <c r="J96" s="413">
        <f t="shared" si="45"/>
        <v>0</v>
      </c>
      <c r="K96" s="1"/>
      <c r="L96" s="1"/>
      <c r="M96" s="1"/>
      <c r="N96" s="1"/>
      <c r="O96" s="1"/>
      <c r="P96" s="1"/>
      <c r="Q96" s="1"/>
      <c r="R96" s="1"/>
      <c r="S96" s="1"/>
      <c r="T96" s="1"/>
      <c r="U96" s="1"/>
      <c r="V96" s="1"/>
      <c r="W96" s="1"/>
      <c r="X96" s="1"/>
      <c r="Y96" s="1"/>
      <c r="Z96" s="1"/>
      <c r="AA96" s="6"/>
    </row>
    <row r="97" spans="1:44" x14ac:dyDescent="0.2">
      <c r="A97" s="1"/>
      <c r="B97" s="1" t="s">
        <v>701</v>
      </c>
      <c r="C97" s="409">
        <f t="shared" si="39"/>
        <v>0</v>
      </c>
      <c r="D97" s="409">
        <f t="shared" si="40"/>
        <v>0</v>
      </c>
      <c r="E97" s="409">
        <f t="shared" si="41"/>
        <v>0</v>
      </c>
      <c r="F97" s="409">
        <f t="shared" si="42"/>
        <v>0</v>
      </c>
      <c r="G97" s="413">
        <f t="shared" si="43"/>
        <v>0</v>
      </c>
      <c r="H97" s="413">
        <f t="shared" si="44"/>
        <v>0</v>
      </c>
      <c r="I97" s="413">
        <f>IF(D8&lt;=0,0,H97/$D$8)</f>
        <v>0</v>
      </c>
      <c r="J97" s="413">
        <f t="shared" si="45"/>
        <v>0</v>
      </c>
      <c r="K97" s="1"/>
      <c r="L97" s="1"/>
      <c r="M97" s="1"/>
      <c r="N97" s="1"/>
      <c r="O97" s="1"/>
      <c r="P97" s="1"/>
      <c r="Q97" s="1"/>
      <c r="R97" s="1"/>
      <c r="S97" s="1"/>
      <c r="T97" s="1"/>
      <c r="U97" s="1"/>
      <c r="V97" s="1"/>
      <c r="W97" s="1"/>
      <c r="X97" s="1"/>
      <c r="Y97" s="1"/>
      <c r="Z97" s="1"/>
      <c r="AA97" s="6"/>
    </row>
    <row r="98" spans="1:44" x14ac:dyDescent="0.2">
      <c r="A98" s="1"/>
      <c r="B98" s="1" t="s">
        <v>702</v>
      </c>
      <c r="C98" s="409">
        <f t="shared" si="39"/>
        <v>0</v>
      </c>
      <c r="D98" s="409">
        <f t="shared" si="40"/>
        <v>0</v>
      </c>
      <c r="E98" s="409">
        <f t="shared" si="41"/>
        <v>0</v>
      </c>
      <c r="F98" s="409">
        <f t="shared" si="42"/>
        <v>0</v>
      </c>
      <c r="G98" s="413">
        <f t="shared" si="43"/>
        <v>0</v>
      </c>
      <c r="H98" s="413">
        <f t="shared" si="44"/>
        <v>0</v>
      </c>
      <c r="I98" s="413">
        <f>IF(D8&lt;=0,0,H98/$D$8)</f>
        <v>0</v>
      </c>
      <c r="J98" s="413">
        <f t="shared" si="45"/>
        <v>0</v>
      </c>
      <c r="K98" s="1"/>
      <c r="L98" s="1"/>
      <c r="M98" s="1"/>
      <c r="N98" s="1"/>
      <c r="O98" s="1"/>
      <c r="P98" s="1"/>
      <c r="Q98" s="1"/>
      <c r="R98" s="1"/>
      <c r="S98" s="1"/>
      <c r="T98" s="1"/>
      <c r="U98" s="1"/>
      <c r="V98" s="1"/>
      <c r="W98" s="1"/>
      <c r="X98" s="1"/>
      <c r="Y98" s="1"/>
      <c r="Z98" s="1"/>
      <c r="AA98" s="6"/>
    </row>
    <row r="99" spans="1:44" x14ac:dyDescent="0.2">
      <c r="A99" s="1"/>
      <c r="B99" s="1" t="s">
        <v>703</v>
      </c>
      <c r="C99" s="409">
        <f t="shared" si="39"/>
        <v>0</v>
      </c>
      <c r="D99" s="409">
        <f t="shared" si="40"/>
        <v>0</v>
      </c>
      <c r="E99" s="409">
        <f t="shared" si="41"/>
        <v>0</v>
      </c>
      <c r="F99" s="409">
        <f t="shared" si="42"/>
        <v>0</v>
      </c>
      <c r="G99" s="413">
        <f t="shared" si="43"/>
        <v>0</v>
      </c>
      <c r="H99" s="413">
        <f t="shared" si="44"/>
        <v>0</v>
      </c>
      <c r="I99" s="413">
        <f>IF(D8&lt;=0,0,H99/$D$8)</f>
        <v>0</v>
      </c>
      <c r="J99" s="413">
        <f t="shared" si="45"/>
        <v>0</v>
      </c>
      <c r="K99" s="1"/>
      <c r="L99" s="1"/>
      <c r="M99" s="1"/>
      <c r="N99" s="1"/>
      <c r="O99" s="1"/>
      <c r="P99" s="1"/>
      <c r="Q99" s="1"/>
      <c r="R99" s="1"/>
      <c r="S99" s="1"/>
      <c r="T99" s="1"/>
      <c r="U99" s="1"/>
      <c r="V99" s="1"/>
      <c r="W99" s="1"/>
      <c r="X99" s="1"/>
      <c r="Y99" s="1"/>
      <c r="Z99" s="1"/>
      <c r="AA99" s="6"/>
    </row>
    <row r="100" spans="1:44" x14ac:dyDescent="0.2">
      <c r="A100" s="1"/>
      <c r="B100" s="1"/>
      <c r="C100" s="1"/>
      <c r="D100" s="1"/>
      <c r="E100" s="1"/>
      <c r="F100" s="1"/>
      <c r="G100" s="1" t="s">
        <v>730</v>
      </c>
      <c r="H100" s="453">
        <f>SUM(H94:H99)</f>
        <v>0</v>
      </c>
      <c r="I100" s="418">
        <f>IF(D8&lt;=0,0,H100/$D$8)</f>
        <v>0</v>
      </c>
      <c r="J100" s="418">
        <f t="shared" si="45"/>
        <v>0</v>
      </c>
      <c r="K100" s="1"/>
      <c r="L100" s="1"/>
      <c r="M100" s="1"/>
      <c r="N100" s="1"/>
      <c r="O100" s="1"/>
      <c r="P100" s="1"/>
      <c r="Q100" s="1"/>
      <c r="R100" s="1"/>
      <c r="S100" s="1"/>
      <c r="T100" s="1"/>
      <c r="U100" s="1"/>
      <c r="V100" s="1"/>
      <c r="W100" s="1"/>
      <c r="X100" s="1"/>
      <c r="Y100" s="1"/>
      <c r="Z100" s="1"/>
      <c r="AA100" s="6"/>
    </row>
    <row r="101" spans="1:44"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6"/>
    </row>
    <row r="102" spans="1:44" x14ac:dyDescent="0.2">
      <c r="A102" s="1"/>
      <c r="B102" s="1"/>
      <c r="C102" s="1"/>
      <c r="D102" s="1"/>
      <c r="E102" s="1"/>
      <c r="F102" s="1"/>
      <c r="G102" s="1"/>
      <c r="H102" s="1"/>
      <c r="I102" s="1"/>
      <c r="J102" s="1"/>
      <c r="K102" s="1"/>
      <c r="L102" s="1"/>
      <c r="M102" s="1"/>
      <c r="N102" s="1"/>
      <c r="O102" s="1"/>
      <c r="P102" s="1"/>
      <c r="Q102" s="1"/>
      <c r="R102" s="1" t="s">
        <v>788</v>
      </c>
      <c r="S102" s="1"/>
      <c r="T102" s="1"/>
      <c r="U102" s="1"/>
      <c r="W102" s="1"/>
      <c r="X102" s="1"/>
      <c r="Y102" s="1" t="s">
        <v>789</v>
      </c>
      <c r="Z102" s="1"/>
      <c r="AA102" s="6"/>
    </row>
    <row r="103" spans="1:44"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6"/>
    </row>
    <row r="104" spans="1:44"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6"/>
    </row>
    <row r="105" spans="1:44" ht="15.75" x14ac:dyDescent="0.25">
      <c r="A105" s="1"/>
      <c r="B105" s="446" t="s">
        <v>397</v>
      </c>
      <c r="C105" s="1"/>
      <c r="D105" s="1"/>
      <c r="E105" s="1"/>
      <c r="F105" s="1"/>
      <c r="G105" s="1"/>
      <c r="H105" s="1"/>
      <c r="I105" s="1"/>
      <c r="J105" s="1"/>
      <c r="K105" s="1"/>
      <c r="L105" s="1"/>
      <c r="M105" s="1"/>
      <c r="N105" s="1"/>
      <c r="O105" s="1"/>
      <c r="P105" s="1"/>
      <c r="Q105" s="1"/>
      <c r="R105" s="1"/>
      <c r="S105" s="1"/>
      <c r="T105" s="1"/>
      <c r="U105" s="1"/>
      <c r="V105" s="1"/>
      <c r="W105" s="1"/>
      <c r="X105" s="1"/>
      <c r="Y105" s="1"/>
      <c r="Z105" s="1"/>
      <c r="AA105" s="6"/>
    </row>
    <row r="106" spans="1:44" x14ac:dyDescent="0.2">
      <c r="A106" s="1"/>
      <c r="B106" s="1"/>
      <c r="C106" s="1"/>
      <c r="D106" s="1"/>
      <c r="E106" s="1"/>
      <c r="F106" s="1"/>
      <c r="G106" s="1"/>
      <c r="H106" s="1"/>
      <c r="I106" s="1"/>
      <c r="J106" s="1"/>
      <c r="K106" s="1"/>
      <c r="L106" s="1"/>
      <c r="M106" s="1"/>
      <c r="N106" s="1"/>
      <c r="O106" s="1"/>
      <c r="P106" s="1"/>
      <c r="Q106" s="1"/>
    </row>
    <row r="107" spans="1:44" ht="15.75" x14ac:dyDescent="0.25">
      <c r="C107" s="446" t="s">
        <v>620</v>
      </c>
      <c r="D107" s="1" t="s">
        <v>398</v>
      </c>
      <c r="E107" s="1"/>
      <c r="F107" s="1"/>
      <c r="G107" s="1"/>
      <c r="H107" s="1"/>
      <c r="I107" s="1"/>
      <c r="J107" s="1"/>
      <c r="L107" s="446" t="s">
        <v>582</v>
      </c>
      <c r="N107" s="446" t="s">
        <v>620</v>
      </c>
      <c r="O107" s="1"/>
      <c r="P107" s="1"/>
      <c r="Q107" s="1"/>
      <c r="R107" s="1"/>
      <c r="S107" s="1"/>
      <c r="T107" s="1"/>
      <c r="U107" s="1"/>
      <c r="Y107" s="446" t="s">
        <v>795</v>
      </c>
      <c r="Z107" s="446" t="s">
        <v>393</v>
      </c>
      <c r="AA107" s="6"/>
      <c r="AB107" s="6"/>
      <c r="AC107" s="6"/>
      <c r="AD107" s="6"/>
      <c r="AE107" s="6"/>
      <c r="AF107" s="6"/>
      <c r="AG107" s="1"/>
      <c r="AI107" s="446" t="s">
        <v>582</v>
      </c>
      <c r="AJ107" s="446" t="s">
        <v>393</v>
      </c>
      <c r="AL107" s="1"/>
      <c r="AM107" s="1"/>
      <c r="AN107" s="1"/>
      <c r="AO107" s="1"/>
      <c r="AP107" s="1"/>
      <c r="AQ107" s="1"/>
      <c r="AR107" s="1"/>
    </row>
    <row r="108" spans="1:44" x14ac:dyDescent="0.2">
      <c r="B108" s="65"/>
      <c r="C108" s="1"/>
      <c r="D108" s="14"/>
      <c r="E108" s="14"/>
      <c r="F108" s="14"/>
      <c r="G108" s="14"/>
      <c r="H108" s="14"/>
      <c r="I108" s="14"/>
      <c r="J108" s="14"/>
      <c r="L108" s="65"/>
      <c r="M108" s="1"/>
      <c r="N108" s="14"/>
      <c r="O108" s="14"/>
      <c r="P108" s="14"/>
      <c r="Q108" s="14"/>
      <c r="R108" s="14"/>
      <c r="S108" s="14"/>
      <c r="T108" s="14"/>
      <c r="U108" s="14"/>
      <c r="Y108" s="65"/>
      <c r="Z108" s="1"/>
      <c r="AA108" s="6"/>
      <c r="AB108" s="6"/>
      <c r="AC108" s="6"/>
      <c r="AD108" s="6"/>
      <c r="AE108" s="6"/>
      <c r="AF108" s="6"/>
      <c r="AG108" s="14"/>
      <c r="AI108" s="65"/>
      <c r="AJ108" s="1"/>
      <c r="AK108" s="14"/>
      <c r="AL108" s="14"/>
      <c r="AM108" s="14"/>
      <c r="AN108" s="14"/>
      <c r="AO108" s="14"/>
      <c r="AP108" s="14"/>
      <c r="AQ108" s="14"/>
      <c r="AR108" s="14"/>
    </row>
    <row r="109" spans="1:44" ht="15.75" x14ac:dyDescent="0.25">
      <c r="B109" s="482" t="s">
        <v>994</v>
      </c>
      <c r="C109" s="483" t="s">
        <v>583</v>
      </c>
      <c r="D109" s="484" t="s">
        <v>616</v>
      </c>
      <c r="E109" s="482" t="s">
        <v>619</v>
      </c>
      <c r="F109" s="485" t="s">
        <v>617</v>
      </c>
      <c r="G109" s="485" t="s">
        <v>245</v>
      </c>
      <c r="H109" s="486" t="s">
        <v>489</v>
      </c>
      <c r="I109" s="486" t="s">
        <v>490</v>
      </c>
      <c r="L109" s="482" t="s">
        <v>994</v>
      </c>
      <c r="M109" s="483" t="s">
        <v>583</v>
      </c>
      <c r="N109" s="484" t="s">
        <v>616</v>
      </c>
      <c r="O109" s="482" t="s">
        <v>619</v>
      </c>
      <c r="P109" s="485" t="s">
        <v>617</v>
      </c>
      <c r="Q109" s="482"/>
      <c r="R109" s="485" t="s">
        <v>245</v>
      </c>
      <c r="S109" s="487" t="s">
        <v>489</v>
      </c>
      <c r="T109" s="487" t="s">
        <v>490</v>
      </c>
      <c r="U109" s="1"/>
      <c r="Y109" s="488" t="s">
        <v>994</v>
      </c>
      <c r="Z109" s="94" t="s">
        <v>583</v>
      </c>
      <c r="AA109" s="488" t="s">
        <v>616</v>
      </c>
      <c r="AB109" s="488" t="s">
        <v>619</v>
      </c>
      <c r="AC109" s="488" t="s">
        <v>617</v>
      </c>
      <c r="AD109" s="488" t="s">
        <v>618</v>
      </c>
      <c r="AE109" s="489" t="s">
        <v>489</v>
      </c>
      <c r="AF109" s="489" t="s">
        <v>490</v>
      </c>
      <c r="AI109" s="488" t="s">
        <v>994</v>
      </c>
      <c r="AJ109" s="94" t="s">
        <v>583</v>
      </c>
      <c r="AK109" s="490" t="s">
        <v>616</v>
      </c>
      <c r="AL109" s="488" t="s">
        <v>619</v>
      </c>
      <c r="AM109" s="74" t="s">
        <v>617</v>
      </c>
      <c r="AN109" s="488"/>
      <c r="AO109" s="74" t="s">
        <v>618</v>
      </c>
      <c r="AP109" s="72" t="s">
        <v>489</v>
      </c>
      <c r="AQ109" s="72" t="s">
        <v>490</v>
      </c>
      <c r="AR109" s="1"/>
    </row>
    <row r="110" spans="1:44" ht="15.75" x14ac:dyDescent="0.25">
      <c r="B110" s="305"/>
      <c r="C110" s="491" t="str">
        <f>IF(B110&lt;=0,"",VLOOKUP(B110,Treatments!$C$7:$J$407,2))</f>
        <v/>
      </c>
      <c r="D110" s="306"/>
      <c r="E110" s="433">
        <f>VLOOKUP(B110,Treatments!$C$7:$J$407,8)</f>
        <v>0</v>
      </c>
      <c r="F110" s="305"/>
      <c r="G110" s="308"/>
      <c r="H110" s="433">
        <f>D110*E110*F110*G110</f>
        <v>0</v>
      </c>
      <c r="I110" s="411">
        <f>H110*$D$9</f>
        <v>0</v>
      </c>
      <c r="L110" s="305"/>
      <c r="M110" s="491" t="str">
        <f>VLOOKUP(L110,Treatments!$C$7:$J$407,2)</f>
        <v>No treatment</v>
      </c>
      <c r="N110" s="306"/>
      <c r="O110" s="433">
        <f>VLOOKUP(L110,Treatments!$C$7:$J$407,8)</f>
        <v>0</v>
      </c>
      <c r="P110" s="305"/>
      <c r="Q110" s="494"/>
      <c r="R110" s="493"/>
      <c r="S110" s="433">
        <f t="shared" ref="S110:S115" si="46">N110*O110*P110*R110</f>
        <v>0</v>
      </c>
      <c r="T110" s="411">
        <f t="shared" ref="T110:T115" si="47">S110*$D$9</f>
        <v>0</v>
      </c>
      <c r="U110" s="1"/>
      <c r="Y110" s="447">
        <f>IF(AND(B110&gt;=344,B110&lt;=358),B110+15,B110)</f>
        <v>0</v>
      </c>
      <c r="Z110" s="491" t="str">
        <f>VLOOKUP(Y110,Treatments!$C$7:$J$407,2)</f>
        <v>No treatment</v>
      </c>
      <c r="AA110" s="495">
        <f>D110</f>
        <v>0</v>
      </c>
      <c r="AB110" s="433">
        <f>VLOOKUP(Y110,Treatments!$C$7:$J$407,8)</f>
        <v>0</v>
      </c>
      <c r="AC110" s="495">
        <f>F110</f>
        <v>0</v>
      </c>
      <c r="AD110" s="496">
        <f>G110</f>
        <v>0</v>
      </c>
      <c r="AE110" s="433">
        <f>AA110*AB110*AC110*AD110</f>
        <v>0</v>
      </c>
      <c r="AF110" s="411">
        <f t="shared" ref="AF110:AF124" si="48">AE110*$D$9</f>
        <v>0</v>
      </c>
      <c r="AI110" s="447">
        <f t="shared" ref="AI110:AI115" si="49">IF(AND(L110&gt;=344,L110&lt;=358),L110+15,L110)</f>
        <v>0</v>
      </c>
      <c r="AJ110" s="491" t="str">
        <f>VLOOKUP(AI110,Treatments!$C$7:$J$407,2)</f>
        <v>No treatment</v>
      </c>
      <c r="AK110" s="495">
        <f t="shared" ref="AK110:AK115" si="50">N110</f>
        <v>0</v>
      </c>
      <c r="AL110" s="433">
        <f>VLOOKUP(AI110,Treatments!$C$7:$J$407,8)</f>
        <v>0</v>
      </c>
      <c r="AM110" s="495">
        <f t="shared" ref="AM110:AM115" si="51">P110</f>
        <v>0</v>
      </c>
      <c r="AN110" s="494"/>
      <c r="AO110" s="496">
        <f t="shared" ref="AO110:AO115" si="52">R110</f>
        <v>0</v>
      </c>
      <c r="AP110" s="433">
        <f t="shared" ref="AP110:AP115" si="53">AK110*AL110*AM110*AO110</f>
        <v>0</v>
      </c>
      <c r="AQ110" s="411">
        <f t="shared" ref="AQ110:AQ115" si="54">AP110*$D$9</f>
        <v>0</v>
      </c>
      <c r="AR110" s="1"/>
    </row>
    <row r="111" spans="1:44" ht="15.75" x14ac:dyDescent="0.25">
      <c r="B111" s="305"/>
      <c r="C111" s="491" t="str">
        <f>IF(B111&lt;=0,"",VLOOKUP(B111,Treatments!$C$7:$J$407,2))</f>
        <v/>
      </c>
      <c r="D111" s="306"/>
      <c r="E111" s="433">
        <f>VLOOKUP(B111,Treatments!$C$7:$J$407,8)</f>
        <v>0</v>
      </c>
      <c r="F111" s="305"/>
      <c r="G111" s="308"/>
      <c r="H111" s="433">
        <f>D111*E111*F111*G111</f>
        <v>0</v>
      </c>
      <c r="I111" s="411">
        <f t="shared" ref="I111:I124" si="55">H111*$D$9</f>
        <v>0</v>
      </c>
      <c r="L111" s="305"/>
      <c r="M111" s="491" t="str">
        <f>VLOOKUP(L111,Treatments!$C$7:$J$407,2)</f>
        <v>No treatment</v>
      </c>
      <c r="N111" s="306"/>
      <c r="O111" s="433">
        <f>VLOOKUP(L111,Treatments!$C$7:$J$407,8)</f>
        <v>0</v>
      </c>
      <c r="P111" s="305"/>
      <c r="Q111" s="497"/>
      <c r="R111" s="493"/>
      <c r="S111" s="433">
        <f t="shared" si="46"/>
        <v>0</v>
      </c>
      <c r="T111" s="411">
        <f t="shared" si="47"/>
        <v>0</v>
      </c>
      <c r="U111" s="1"/>
      <c r="Y111" s="447">
        <f t="shared" ref="Y111:Y124" si="56">IF(AND(B111&gt;=344,B111&lt;=358),B111+15,B111)</f>
        <v>0</v>
      </c>
      <c r="Z111" s="491" t="str">
        <f>VLOOKUP(Y111,Treatments!$C$7:$J$407,2)</f>
        <v>No treatment</v>
      </c>
      <c r="AA111" s="495">
        <f t="shared" ref="AA111:AA124" si="57">D111</f>
        <v>0</v>
      </c>
      <c r="AB111" s="433">
        <f>VLOOKUP(Y111,Treatments!$C$7:$J$407,8)</f>
        <v>0</v>
      </c>
      <c r="AC111" s="495">
        <f t="shared" ref="AC111:AD124" si="58">F111</f>
        <v>0</v>
      </c>
      <c r="AD111" s="496">
        <f t="shared" si="58"/>
        <v>0</v>
      </c>
      <c r="AE111" s="433">
        <f>AA111*AB111*AC111*AD111</f>
        <v>0</v>
      </c>
      <c r="AF111" s="411">
        <f t="shared" si="48"/>
        <v>0</v>
      </c>
      <c r="AI111" s="447">
        <f t="shared" si="49"/>
        <v>0</v>
      </c>
      <c r="AJ111" s="491" t="str">
        <f>VLOOKUP(AI111,Treatments!$C$7:$J$407,2)</f>
        <v>No treatment</v>
      </c>
      <c r="AK111" s="495">
        <f t="shared" si="50"/>
        <v>0</v>
      </c>
      <c r="AL111" s="433">
        <f>VLOOKUP(AI111,Treatments!$C$7:$J$407,8)</f>
        <v>0</v>
      </c>
      <c r="AM111" s="495">
        <f t="shared" si="51"/>
        <v>0</v>
      </c>
      <c r="AN111" s="497"/>
      <c r="AO111" s="496">
        <f t="shared" si="52"/>
        <v>0</v>
      </c>
      <c r="AP111" s="433">
        <f t="shared" si="53"/>
        <v>0</v>
      </c>
      <c r="AQ111" s="411">
        <f t="shared" si="54"/>
        <v>0</v>
      </c>
      <c r="AR111" s="1"/>
    </row>
    <row r="112" spans="1:44" ht="15.75" x14ac:dyDescent="0.25">
      <c r="B112" s="305"/>
      <c r="C112" s="491" t="str">
        <f>IF(B112&lt;=0,"",VLOOKUP(B112,Treatments!$C$7:$J$407,2))</f>
        <v/>
      </c>
      <c r="D112" s="306"/>
      <c r="E112" s="433">
        <f>VLOOKUP(B112,Treatments!$C$7:$J$407,8)</f>
        <v>0</v>
      </c>
      <c r="F112" s="305"/>
      <c r="G112" s="308"/>
      <c r="H112" s="433">
        <f t="shared" ref="H112:H122" si="59">D112*E112*F112*G112</f>
        <v>0</v>
      </c>
      <c r="I112" s="411">
        <f t="shared" si="55"/>
        <v>0</v>
      </c>
      <c r="L112" s="305"/>
      <c r="M112" s="491" t="str">
        <f>VLOOKUP(L112,Treatments!$C$7:$J$407,2)</f>
        <v>No treatment</v>
      </c>
      <c r="N112" s="306"/>
      <c r="O112" s="433">
        <f>VLOOKUP(L112,Treatments!$C$7:$J$407,8)</f>
        <v>0</v>
      </c>
      <c r="P112" s="305"/>
      <c r="Q112" s="160"/>
      <c r="R112" s="493"/>
      <c r="S112" s="433">
        <f t="shared" si="46"/>
        <v>0</v>
      </c>
      <c r="T112" s="411">
        <f t="shared" si="47"/>
        <v>0</v>
      </c>
      <c r="U112" s="1"/>
      <c r="Y112" s="447">
        <f t="shared" si="56"/>
        <v>0</v>
      </c>
      <c r="Z112" s="491" t="str">
        <f>VLOOKUP(Y112,Treatments!$C$7:$J$407,2)</f>
        <v>No treatment</v>
      </c>
      <c r="AA112" s="495">
        <f t="shared" si="57"/>
        <v>0</v>
      </c>
      <c r="AB112" s="433">
        <f>VLOOKUP(Y112,Treatments!$C$7:$J$407,8)</f>
        <v>0</v>
      </c>
      <c r="AC112" s="495">
        <f t="shared" si="58"/>
        <v>0</v>
      </c>
      <c r="AD112" s="496">
        <f t="shared" si="58"/>
        <v>0</v>
      </c>
      <c r="AE112" s="433">
        <f t="shared" ref="AE112:AE122" si="60">AA112*AB112*AC112*AD112</f>
        <v>0</v>
      </c>
      <c r="AF112" s="411">
        <f t="shared" si="48"/>
        <v>0</v>
      </c>
      <c r="AI112" s="447">
        <f t="shared" si="49"/>
        <v>0</v>
      </c>
      <c r="AJ112" s="491" t="str">
        <f>VLOOKUP(AI112,Treatments!$C$7:$J$407,2)</f>
        <v>No treatment</v>
      </c>
      <c r="AK112" s="495">
        <f t="shared" si="50"/>
        <v>0</v>
      </c>
      <c r="AL112" s="433">
        <f>VLOOKUP(AI112,Treatments!$C$7:$J$407,8)</f>
        <v>0</v>
      </c>
      <c r="AM112" s="495">
        <f t="shared" si="51"/>
        <v>0</v>
      </c>
      <c r="AN112" s="160"/>
      <c r="AO112" s="496">
        <f t="shared" si="52"/>
        <v>0</v>
      </c>
      <c r="AP112" s="433">
        <f t="shared" si="53"/>
        <v>0</v>
      </c>
      <c r="AQ112" s="411">
        <f t="shared" si="54"/>
        <v>0</v>
      </c>
      <c r="AR112" s="1"/>
    </row>
    <row r="113" spans="2:44" ht="15.75" x14ac:dyDescent="0.25">
      <c r="B113" s="305"/>
      <c r="C113" s="491" t="str">
        <f>IF(B113&lt;=0,"",VLOOKUP(B113,Treatments!$C$7:$J$407,2))</f>
        <v/>
      </c>
      <c r="D113" s="306"/>
      <c r="E113" s="433">
        <f>VLOOKUP(B113,Treatments!$C$7:$J$407,8)</f>
        <v>0</v>
      </c>
      <c r="F113" s="305"/>
      <c r="G113" s="308"/>
      <c r="H113" s="433">
        <f t="shared" si="59"/>
        <v>0</v>
      </c>
      <c r="I113" s="411">
        <f t="shared" si="55"/>
        <v>0</v>
      </c>
      <c r="L113" s="305"/>
      <c r="M113" s="491" t="str">
        <f>VLOOKUP(L113,Treatments!$C$7:$J$407,2)</f>
        <v>No treatment</v>
      </c>
      <c r="N113" s="306"/>
      <c r="O113" s="433">
        <f>VLOOKUP(L113,Treatments!$C$7:$J$407,8)</f>
        <v>0</v>
      </c>
      <c r="P113" s="305"/>
      <c r="Q113" s="498"/>
      <c r="R113" s="493"/>
      <c r="S113" s="433">
        <f t="shared" si="46"/>
        <v>0</v>
      </c>
      <c r="T113" s="411">
        <f t="shared" si="47"/>
        <v>0</v>
      </c>
      <c r="U113" s="1"/>
      <c r="Y113" s="447">
        <f t="shared" si="56"/>
        <v>0</v>
      </c>
      <c r="Z113" s="491" t="str">
        <f>VLOOKUP(Y113,Treatments!$C$7:$J$407,2)</f>
        <v>No treatment</v>
      </c>
      <c r="AA113" s="495">
        <f t="shared" si="57"/>
        <v>0</v>
      </c>
      <c r="AB113" s="433">
        <f>VLOOKUP(Y113,Treatments!$C$7:$J$407,8)</f>
        <v>0</v>
      </c>
      <c r="AC113" s="495">
        <f t="shared" si="58"/>
        <v>0</v>
      </c>
      <c r="AD113" s="496">
        <f t="shared" si="58"/>
        <v>0</v>
      </c>
      <c r="AE113" s="433">
        <f t="shared" si="60"/>
        <v>0</v>
      </c>
      <c r="AF113" s="411">
        <f t="shared" si="48"/>
        <v>0</v>
      </c>
      <c r="AI113" s="447">
        <f t="shared" si="49"/>
        <v>0</v>
      </c>
      <c r="AJ113" s="491" t="str">
        <f>VLOOKUP(AI113,Treatments!$C$7:$J$407,2)</f>
        <v>No treatment</v>
      </c>
      <c r="AK113" s="495">
        <f t="shared" si="50"/>
        <v>0</v>
      </c>
      <c r="AL113" s="433">
        <f>VLOOKUP(AI113,Treatments!$C$7:$J$407,8)</f>
        <v>0</v>
      </c>
      <c r="AM113" s="495">
        <f t="shared" si="51"/>
        <v>0</v>
      </c>
      <c r="AN113" s="498"/>
      <c r="AO113" s="496">
        <f t="shared" si="52"/>
        <v>0</v>
      </c>
      <c r="AP113" s="433">
        <f t="shared" si="53"/>
        <v>0</v>
      </c>
      <c r="AQ113" s="411">
        <f t="shared" si="54"/>
        <v>0</v>
      </c>
      <c r="AR113" s="1"/>
    </row>
    <row r="114" spans="2:44" ht="15.75" x14ac:dyDescent="0.25">
      <c r="B114" s="305"/>
      <c r="C114" s="491" t="str">
        <f>IF(B114&lt;=0,"",VLOOKUP(B114,Treatments!$C$7:$J$407,2))</f>
        <v/>
      </c>
      <c r="D114" s="306"/>
      <c r="E114" s="433">
        <f>VLOOKUP(B114,Treatments!$C$7:$J$407,8)</f>
        <v>0</v>
      </c>
      <c r="F114" s="305"/>
      <c r="G114" s="308"/>
      <c r="H114" s="433">
        <f t="shared" si="59"/>
        <v>0</v>
      </c>
      <c r="I114" s="411">
        <f t="shared" si="55"/>
        <v>0</v>
      </c>
      <c r="L114" s="435"/>
      <c r="M114" s="491" t="str">
        <f>VLOOKUP(L114,Treatments!$C$7:$J$407,2)</f>
        <v>No treatment</v>
      </c>
      <c r="N114" s="492"/>
      <c r="O114" s="433">
        <f>VLOOKUP(L114,Treatments!$C$7:$J$407,8)</f>
        <v>0</v>
      </c>
      <c r="P114" s="435"/>
      <c r="Q114" s="498"/>
      <c r="R114" s="493"/>
      <c r="S114" s="433">
        <f t="shared" si="46"/>
        <v>0</v>
      </c>
      <c r="T114" s="411">
        <f t="shared" si="47"/>
        <v>0</v>
      </c>
      <c r="U114" s="1"/>
      <c r="Y114" s="447">
        <f t="shared" si="56"/>
        <v>0</v>
      </c>
      <c r="Z114" s="491" t="str">
        <f>VLOOKUP(Y114,Treatments!$C$7:$J$407,2)</f>
        <v>No treatment</v>
      </c>
      <c r="AA114" s="495">
        <f t="shared" si="57"/>
        <v>0</v>
      </c>
      <c r="AB114" s="433">
        <f>VLOOKUP(Y114,Treatments!$C$7:$J$407,8)</f>
        <v>0</v>
      </c>
      <c r="AC114" s="495">
        <f t="shared" si="58"/>
        <v>0</v>
      </c>
      <c r="AD114" s="496">
        <f t="shared" si="58"/>
        <v>0</v>
      </c>
      <c r="AE114" s="433">
        <f t="shared" si="60"/>
        <v>0</v>
      </c>
      <c r="AF114" s="411">
        <f t="shared" si="48"/>
        <v>0</v>
      </c>
      <c r="AI114" s="447">
        <f t="shared" si="49"/>
        <v>0</v>
      </c>
      <c r="AJ114" s="491" t="str">
        <f>VLOOKUP(AI114,Treatments!$C$7:$J$407,2)</f>
        <v>No treatment</v>
      </c>
      <c r="AK114" s="495">
        <f t="shared" si="50"/>
        <v>0</v>
      </c>
      <c r="AL114" s="433">
        <f>VLOOKUP(AI114,Treatments!$C$7:$J$407,8)</f>
        <v>0</v>
      </c>
      <c r="AM114" s="495">
        <f t="shared" si="51"/>
        <v>0</v>
      </c>
      <c r="AN114" s="498"/>
      <c r="AO114" s="496">
        <f t="shared" si="52"/>
        <v>0</v>
      </c>
      <c r="AP114" s="433">
        <f t="shared" si="53"/>
        <v>0</v>
      </c>
      <c r="AQ114" s="411">
        <f t="shared" si="54"/>
        <v>0</v>
      </c>
      <c r="AR114" s="1"/>
    </row>
    <row r="115" spans="2:44" ht="15.75" x14ac:dyDescent="0.25">
      <c r="B115" s="305"/>
      <c r="C115" s="491" t="str">
        <f>IF(B115&lt;=0,"",VLOOKUP(B115,Treatments!$C$7:$J$407,2))</f>
        <v/>
      </c>
      <c r="D115" s="306"/>
      <c r="E115" s="433">
        <f>VLOOKUP(B115,Treatments!$C$7:$J$407,8)</f>
        <v>0</v>
      </c>
      <c r="F115" s="305"/>
      <c r="G115" s="308"/>
      <c r="H115" s="433">
        <f t="shared" si="59"/>
        <v>0</v>
      </c>
      <c r="I115" s="411">
        <f t="shared" si="55"/>
        <v>0</v>
      </c>
      <c r="L115" s="435"/>
      <c r="M115" s="491" t="str">
        <f>VLOOKUP(L115,Treatments!$C$7:$J$407,2)</f>
        <v>No treatment</v>
      </c>
      <c r="N115" s="492"/>
      <c r="O115" s="433">
        <f>VLOOKUP(L115,Treatments!$C$7:$J$407,8)</f>
        <v>0</v>
      </c>
      <c r="P115" s="435"/>
      <c r="Q115" s="498"/>
      <c r="R115" s="493"/>
      <c r="S115" s="433">
        <f t="shared" si="46"/>
        <v>0</v>
      </c>
      <c r="T115" s="411">
        <f t="shared" si="47"/>
        <v>0</v>
      </c>
      <c r="U115" s="1"/>
      <c r="Y115" s="447">
        <f t="shared" si="56"/>
        <v>0</v>
      </c>
      <c r="Z115" s="491" t="str">
        <f>VLOOKUP(Y115,Treatments!$C$7:$J$407,2)</f>
        <v>No treatment</v>
      </c>
      <c r="AA115" s="495">
        <f t="shared" si="57"/>
        <v>0</v>
      </c>
      <c r="AB115" s="433">
        <f>VLOOKUP(Y115,Treatments!$C$7:$J$407,8)</f>
        <v>0</v>
      </c>
      <c r="AC115" s="495">
        <f t="shared" si="58"/>
        <v>0</v>
      </c>
      <c r="AD115" s="496">
        <f t="shared" si="58"/>
        <v>0</v>
      </c>
      <c r="AE115" s="433">
        <f t="shared" si="60"/>
        <v>0</v>
      </c>
      <c r="AF115" s="411">
        <f t="shared" si="48"/>
        <v>0</v>
      </c>
      <c r="AI115" s="447">
        <f t="shared" si="49"/>
        <v>0</v>
      </c>
      <c r="AJ115" s="491" t="str">
        <f>VLOOKUP(AI115,Treatments!$C$7:$J$407,2)</f>
        <v>No treatment</v>
      </c>
      <c r="AK115" s="495">
        <f t="shared" si="50"/>
        <v>0</v>
      </c>
      <c r="AL115" s="433">
        <f>VLOOKUP(AI115,Treatments!$C$7:$J$407,8)</f>
        <v>0</v>
      </c>
      <c r="AM115" s="495">
        <f t="shared" si="51"/>
        <v>0</v>
      </c>
      <c r="AN115" s="498"/>
      <c r="AO115" s="496">
        <f t="shared" si="52"/>
        <v>0</v>
      </c>
      <c r="AP115" s="433">
        <f t="shared" si="53"/>
        <v>0</v>
      </c>
      <c r="AQ115" s="411">
        <f t="shared" si="54"/>
        <v>0</v>
      </c>
      <c r="AR115" s="1"/>
    </row>
    <row r="116" spans="2:44" ht="15.75" x14ac:dyDescent="0.25">
      <c r="B116" s="305"/>
      <c r="C116" s="491" t="str">
        <f>IF(B116&lt;=0,"",VLOOKUP(B116,Treatments!$C$7:$J$407,2))</f>
        <v/>
      </c>
      <c r="D116" s="306"/>
      <c r="E116" s="433">
        <f>VLOOKUP(B116,Treatments!$C$7:$J$407,8)</f>
        <v>0</v>
      </c>
      <c r="F116" s="305"/>
      <c r="G116" s="308"/>
      <c r="H116" s="433">
        <f t="shared" si="59"/>
        <v>0</v>
      </c>
      <c r="I116" s="411">
        <f t="shared" si="55"/>
        <v>0</v>
      </c>
      <c r="U116" s="1"/>
      <c r="Y116" s="447">
        <f t="shared" si="56"/>
        <v>0</v>
      </c>
      <c r="Z116" s="491" t="str">
        <f>VLOOKUP(Y116,Treatments!$C$7:$J$407,2)</f>
        <v>No treatment</v>
      </c>
      <c r="AA116" s="495">
        <f t="shared" si="57"/>
        <v>0</v>
      </c>
      <c r="AB116" s="433">
        <f>VLOOKUP(Y116,Treatments!$C$7:$J$407,8)</f>
        <v>0</v>
      </c>
      <c r="AC116" s="495">
        <f t="shared" si="58"/>
        <v>0</v>
      </c>
      <c r="AD116" s="496">
        <f t="shared" si="58"/>
        <v>0</v>
      </c>
      <c r="AE116" s="433">
        <f t="shared" si="60"/>
        <v>0</v>
      </c>
      <c r="AF116" s="411">
        <f t="shared" si="48"/>
        <v>0</v>
      </c>
      <c r="AR116" s="1"/>
    </row>
    <row r="117" spans="2:44" ht="15.75" x14ac:dyDescent="0.25">
      <c r="B117" s="305"/>
      <c r="C117" s="491" t="str">
        <f>IF(B117&lt;=0,"",VLOOKUP(B117,Treatments!$C$7:$J$407,2))</f>
        <v/>
      </c>
      <c r="D117" s="306"/>
      <c r="E117" s="433">
        <f>VLOOKUP(B117,Treatments!$C$7:$J$407,8)</f>
        <v>0</v>
      </c>
      <c r="F117" s="305"/>
      <c r="G117" s="308"/>
      <c r="H117" s="433">
        <f t="shared" si="59"/>
        <v>0</v>
      </c>
      <c r="I117" s="411">
        <f t="shared" si="55"/>
        <v>0</v>
      </c>
      <c r="L117" s="482" t="s">
        <v>994</v>
      </c>
      <c r="M117" s="483" t="s">
        <v>580</v>
      </c>
      <c r="N117" s="484" t="s">
        <v>616</v>
      </c>
      <c r="O117" s="482" t="s">
        <v>619</v>
      </c>
      <c r="P117" s="485" t="s">
        <v>617</v>
      </c>
      <c r="Q117" s="482"/>
      <c r="R117" s="485" t="s">
        <v>618</v>
      </c>
      <c r="S117" s="487"/>
      <c r="T117" s="487"/>
      <c r="U117" s="1"/>
      <c r="Y117" s="447">
        <f t="shared" si="56"/>
        <v>0</v>
      </c>
      <c r="Z117" s="491" t="str">
        <f>VLOOKUP(Y117,Treatments!$C$7:$J$407,2)</f>
        <v>No treatment</v>
      </c>
      <c r="AA117" s="495">
        <f t="shared" si="57"/>
        <v>0</v>
      </c>
      <c r="AB117" s="433">
        <f>VLOOKUP(Y117,Treatments!$C$7:$J$407,8)</f>
        <v>0</v>
      </c>
      <c r="AC117" s="495">
        <f t="shared" si="58"/>
        <v>0</v>
      </c>
      <c r="AD117" s="496">
        <f t="shared" si="58"/>
        <v>0</v>
      </c>
      <c r="AE117" s="433">
        <f t="shared" si="60"/>
        <v>0</v>
      </c>
      <c r="AF117" s="411">
        <f t="shared" si="48"/>
        <v>0</v>
      </c>
      <c r="AI117" s="499" t="s">
        <v>994</v>
      </c>
      <c r="AJ117" s="5" t="s">
        <v>580</v>
      </c>
      <c r="AK117" s="14" t="s">
        <v>616</v>
      </c>
      <c r="AL117" s="6" t="s">
        <v>619</v>
      </c>
      <c r="AM117" s="1" t="s">
        <v>617</v>
      </c>
      <c r="AN117" s="6"/>
      <c r="AO117" s="1" t="s">
        <v>618</v>
      </c>
      <c r="AP117" s="500"/>
      <c r="AQ117" s="62"/>
      <c r="AR117" s="1"/>
    </row>
    <row r="118" spans="2:44" ht="15.75" x14ac:dyDescent="0.25">
      <c r="B118" s="305"/>
      <c r="C118" s="491" t="str">
        <f>IF(B118&lt;=0,"",VLOOKUP(B118,Treatments!$C$7:$J$407,2))</f>
        <v/>
      </c>
      <c r="D118" s="306"/>
      <c r="E118" s="433">
        <f>VLOOKUP(B118,Treatments!$C$7:$J$407,8)</f>
        <v>0</v>
      </c>
      <c r="F118" s="305"/>
      <c r="G118" s="308"/>
      <c r="H118" s="433">
        <f t="shared" si="59"/>
        <v>0</v>
      </c>
      <c r="I118" s="411">
        <f t="shared" si="55"/>
        <v>0</v>
      </c>
      <c r="L118" s="305"/>
      <c r="M118" s="491" t="str">
        <f>VLOOKUP(L118,Treatments!$C$7:$J$407,2)</f>
        <v>No treatment</v>
      </c>
      <c r="N118" s="306"/>
      <c r="O118" s="433">
        <f>VLOOKUP(L118,Treatments!$C$7:$J$407,8)</f>
        <v>0</v>
      </c>
      <c r="P118" s="305"/>
      <c r="Q118" s="494"/>
      <c r="R118" s="308"/>
      <c r="S118" s="433">
        <f>N118*O118*P118*R118</f>
        <v>0</v>
      </c>
      <c r="T118" s="411">
        <f>S118*$D$9</f>
        <v>0</v>
      </c>
      <c r="U118" s="1"/>
      <c r="Y118" s="447">
        <f t="shared" si="56"/>
        <v>0</v>
      </c>
      <c r="Z118" s="491" t="str">
        <f>VLOOKUP(Y118,Treatments!$C$7:$J$407,2)</f>
        <v>No treatment</v>
      </c>
      <c r="AA118" s="495">
        <f t="shared" si="57"/>
        <v>0</v>
      </c>
      <c r="AB118" s="433">
        <f>VLOOKUP(Y118,Treatments!$C$7:$J$407,8)</f>
        <v>0</v>
      </c>
      <c r="AC118" s="495">
        <f t="shared" si="58"/>
        <v>0</v>
      </c>
      <c r="AD118" s="496">
        <f t="shared" si="58"/>
        <v>0</v>
      </c>
      <c r="AE118" s="433">
        <f t="shared" si="60"/>
        <v>0</v>
      </c>
      <c r="AF118" s="411">
        <f t="shared" si="48"/>
        <v>0</v>
      </c>
      <c r="AI118" s="447">
        <f t="shared" ref="AI118:AI129" si="61">IF(AND(L118&gt;=344,L118&lt;=358),L118+15,L118)</f>
        <v>0</v>
      </c>
      <c r="AJ118" s="491" t="str">
        <f>VLOOKUP(AI118,Treatments!$C$7:$J$407,2)</f>
        <v>No treatment</v>
      </c>
      <c r="AK118" s="495">
        <f t="shared" ref="AK118:AK129" si="62">N118</f>
        <v>0</v>
      </c>
      <c r="AL118" s="433">
        <f>VLOOKUP(AI118,Treatments!$C$7:$J$407,8)</f>
        <v>0</v>
      </c>
      <c r="AM118" s="495">
        <f t="shared" ref="AM118:AM129" si="63">P118</f>
        <v>0</v>
      </c>
      <c r="AN118" s="494"/>
      <c r="AO118" s="496">
        <f t="shared" ref="AO118:AO129" si="64">R118</f>
        <v>0</v>
      </c>
      <c r="AP118" s="433">
        <f>AK118*AL118*AM118*AO118</f>
        <v>0</v>
      </c>
      <c r="AQ118" s="411">
        <f t="shared" ref="AQ118:AQ129" si="65">AP118*$D$9</f>
        <v>0</v>
      </c>
      <c r="AR118" s="1"/>
    </row>
    <row r="119" spans="2:44" ht="15.75" x14ac:dyDescent="0.25">
      <c r="B119" s="305"/>
      <c r="C119" s="491" t="str">
        <f>IF(B119&lt;=0,"",VLOOKUP(B119,Treatments!$C$7:$J$407,2))</f>
        <v/>
      </c>
      <c r="D119" s="306"/>
      <c r="E119" s="433">
        <f>VLOOKUP(B119,Treatments!$C$7:$J$407,8)</f>
        <v>0</v>
      </c>
      <c r="F119" s="305"/>
      <c r="G119" s="308"/>
      <c r="H119" s="433">
        <f t="shared" si="59"/>
        <v>0</v>
      </c>
      <c r="I119" s="411">
        <f t="shared" si="55"/>
        <v>0</v>
      </c>
      <c r="L119" s="305"/>
      <c r="M119" s="491" t="str">
        <f>VLOOKUP(L119,Treatments!$C$7:$J$407,2)</f>
        <v>No treatment</v>
      </c>
      <c r="N119" s="306"/>
      <c r="O119" s="433">
        <f>VLOOKUP(L119,Treatments!$C$7:$J$407,8)</f>
        <v>0</v>
      </c>
      <c r="P119" s="305"/>
      <c r="Q119" s="160"/>
      <c r="R119" s="308"/>
      <c r="S119" s="433">
        <f t="shared" ref="S119:S129" si="66">N119*O119*P119*R119</f>
        <v>0</v>
      </c>
      <c r="T119" s="411">
        <f t="shared" ref="T119:T129" si="67">S119*$D$9</f>
        <v>0</v>
      </c>
      <c r="U119" s="1"/>
      <c r="Y119" s="447">
        <f t="shared" si="56"/>
        <v>0</v>
      </c>
      <c r="Z119" s="491" t="str">
        <f>VLOOKUP(Y119,Treatments!$C$7:$J$407,2)</f>
        <v>No treatment</v>
      </c>
      <c r="AA119" s="495">
        <f t="shared" si="57"/>
        <v>0</v>
      </c>
      <c r="AB119" s="433">
        <f>VLOOKUP(Y119,Treatments!$C$7:$J$407,8)</f>
        <v>0</v>
      </c>
      <c r="AC119" s="495">
        <f t="shared" si="58"/>
        <v>0</v>
      </c>
      <c r="AD119" s="496">
        <f t="shared" si="58"/>
        <v>0</v>
      </c>
      <c r="AE119" s="433">
        <f t="shared" si="60"/>
        <v>0</v>
      </c>
      <c r="AF119" s="411">
        <f t="shared" si="48"/>
        <v>0</v>
      </c>
      <c r="AI119" s="447">
        <f t="shared" si="61"/>
        <v>0</v>
      </c>
      <c r="AJ119" s="491" t="str">
        <f>VLOOKUP(AI119,Treatments!$C$7:$J$407,2)</f>
        <v>No treatment</v>
      </c>
      <c r="AK119" s="495">
        <f t="shared" si="62"/>
        <v>0</v>
      </c>
      <c r="AL119" s="433">
        <f>VLOOKUP(AI119,Treatments!$C$7:$J$407,8)</f>
        <v>0</v>
      </c>
      <c r="AM119" s="495">
        <f t="shared" si="63"/>
        <v>0</v>
      </c>
      <c r="AN119" s="160"/>
      <c r="AO119" s="496">
        <f t="shared" si="64"/>
        <v>0</v>
      </c>
      <c r="AP119" s="433">
        <f t="shared" ref="AP119:AP129" si="68">AK119*AL119*AM119*AO119</f>
        <v>0</v>
      </c>
      <c r="AQ119" s="411">
        <f t="shared" si="65"/>
        <v>0</v>
      </c>
      <c r="AR119" s="1"/>
    </row>
    <row r="120" spans="2:44" ht="15.75" x14ac:dyDescent="0.25">
      <c r="B120" s="305"/>
      <c r="C120" s="491" t="str">
        <f>IF(B120&lt;=0,"",VLOOKUP(B120,Treatments!$C$7:$J$407,2))</f>
        <v/>
      </c>
      <c r="D120" s="306"/>
      <c r="E120" s="433">
        <f>VLOOKUP(B120,Treatments!$C$7:$J$407,8)</f>
        <v>0</v>
      </c>
      <c r="F120" s="305"/>
      <c r="G120" s="308"/>
      <c r="H120" s="433">
        <f t="shared" si="59"/>
        <v>0</v>
      </c>
      <c r="I120" s="411">
        <f t="shared" si="55"/>
        <v>0</v>
      </c>
      <c r="L120" s="305"/>
      <c r="M120" s="491" t="str">
        <f>VLOOKUP(L120,Treatments!$C$7:$J$407,2)</f>
        <v>No treatment</v>
      </c>
      <c r="N120" s="306"/>
      <c r="O120" s="433">
        <f>VLOOKUP(L120,Treatments!$C$7:$J$407,8)</f>
        <v>0</v>
      </c>
      <c r="P120" s="305"/>
      <c r="Q120" s="160"/>
      <c r="R120" s="308"/>
      <c r="S120" s="433">
        <f t="shared" si="66"/>
        <v>0</v>
      </c>
      <c r="T120" s="411">
        <f t="shared" si="67"/>
        <v>0</v>
      </c>
      <c r="U120" s="1"/>
      <c r="Y120" s="447">
        <f t="shared" si="56"/>
        <v>0</v>
      </c>
      <c r="Z120" s="491" t="str">
        <f>VLOOKUP(Y120,Treatments!$C$7:$J$407,2)</f>
        <v>No treatment</v>
      </c>
      <c r="AA120" s="495">
        <f t="shared" si="57"/>
        <v>0</v>
      </c>
      <c r="AB120" s="433">
        <f>VLOOKUP(Y120,Treatments!$C$7:$J$407,8)</f>
        <v>0</v>
      </c>
      <c r="AC120" s="495">
        <f t="shared" si="58"/>
        <v>0</v>
      </c>
      <c r="AD120" s="496">
        <f t="shared" si="58"/>
        <v>0</v>
      </c>
      <c r="AE120" s="433">
        <f t="shared" si="60"/>
        <v>0</v>
      </c>
      <c r="AF120" s="411">
        <f t="shared" si="48"/>
        <v>0</v>
      </c>
      <c r="AI120" s="447">
        <f t="shared" si="61"/>
        <v>0</v>
      </c>
      <c r="AJ120" s="491" t="str">
        <f>VLOOKUP(AI120,Treatments!$C$7:$J$407,2)</f>
        <v>No treatment</v>
      </c>
      <c r="AK120" s="495">
        <f t="shared" si="62"/>
        <v>0</v>
      </c>
      <c r="AL120" s="433">
        <f>VLOOKUP(AI120,Treatments!$C$7:$J$407,8)</f>
        <v>0</v>
      </c>
      <c r="AM120" s="495">
        <f t="shared" si="63"/>
        <v>0</v>
      </c>
      <c r="AN120" s="160"/>
      <c r="AO120" s="496">
        <f t="shared" si="64"/>
        <v>0</v>
      </c>
      <c r="AP120" s="433">
        <f t="shared" si="68"/>
        <v>0</v>
      </c>
      <c r="AQ120" s="411">
        <f t="shared" si="65"/>
        <v>0</v>
      </c>
      <c r="AR120" s="1"/>
    </row>
    <row r="121" spans="2:44" ht="15.75" x14ac:dyDescent="0.25">
      <c r="B121" s="305"/>
      <c r="C121" s="491" t="str">
        <f>IF(B121&lt;=0,"",VLOOKUP(B121,Treatments!$C$7:$J$407,2))</f>
        <v/>
      </c>
      <c r="D121" s="306"/>
      <c r="E121" s="433">
        <f>VLOOKUP(B121,Treatments!$C$7:$J$407,8)</f>
        <v>0</v>
      </c>
      <c r="F121" s="305"/>
      <c r="G121" s="308"/>
      <c r="H121" s="433">
        <f t="shared" si="59"/>
        <v>0</v>
      </c>
      <c r="I121" s="411">
        <f t="shared" si="55"/>
        <v>0</v>
      </c>
      <c r="L121" s="305"/>
      <c r="M121" s="491" t="str">
        <f>VLOOKUP(L121,Treatments!$C$7:$J$407,2)</f>
        <v>No treatment</v>
      </c>
      <c r="N121" s="306"/>
      <c r="O121" s="433">
        <f>VLOOKUP(L121,Treatments!$C$7:$J$407,8)</f>
        <v>0</v>
      </c>
      <c r="P121" s="305"/>
      <c r="Q121" s="160"/>
      <c r="R121" s="308"/>
      <c r="S121" s="433">
        <f t="shared" si="66"/>
        <v>0</v>
      </c>
      <c r="T121" s="411">
        <f t="shared" si="67"/>
        <v>0</v>
      </c>
      <c r="U121" s="1"/>
      <c r="Y121" s="447">
        <f t="shared" si="56"/>
        <v>0</v>
      </c>
      <c r="Z121" s="491" t="str">
        <f>VLOOKUP(Y121,Treatments!$C$7:$J$407,2)</f>
        <v>No treatment</v>
      </c>
      <c r="AA121" s="495">
        <f t="shared" si="57"/>
        <v>0</v>
      </c>
      <c r="AB121" s="433">
        <f>VLOOKUP(Y121,Treatments!$C$7:$J$407,8)</f>
        <v>0</v>
      </c>
      <c r="AC121" s="495">
        <f t="shared" si="58"/>
        <v>0</v>
      </c>
      <c r="AD121" s="496">
        <f t="shared" si="58"/>
        <v>0</v>
      </c>
      <c r="AE121" s="433">
        <f t="shared" si="60"/>
        <v>0</v>
      </c>
      <c r="AF121" s="411">
        <f t="shared" si="48"/>
        <v>0</v>
      </c>
      <c r="AI121" s="447">
        <f t="shared" si="61"/>
        <v>0</v>
      </c>
      <c r="AJ121" s="491" t="str">
        <f>VLOOKUP(AI121,Treatments!$C$7:$J$407,2)</f>
        <v>No treatment</v>
      </c>
      <c r="AK121" s="495">
        <f t="shared" si="62"/>
        <v>0</v>
      </c>
      <c r="AL121" s="433">
        <f>VLOOKUP(AI121,Treatments!$C$7:$J$407,8)</f>
        <v>0</v>
      </c>
      <c r="AM121" s="495">
        <f t="shared" si="63"/>
        <v>0</v>
      </c>
      <c r="AN121" s="160"/>
      <c r="AO121" s="496">
        <f t="shared" si="64"/>
        <v>0</v>
      </c>
      <c r="AP121" s="433">
        <f t="shared" si="68"/>
        <v>0</v>
      </c>
      <c r="AQ121" s="411">
        <f t="shared" si="65"/>
        <v>0</v>
      </c>
      <c r="AR121" s="1"/>
    </row>
    <row r="122" spans="2:44" ht="15.75" x14ac:dyDescent="0.25">
      <c r="B122" s="305"/>
      <c r="C122" s="491" t="str">
        <f>IF(B122&lt;=0,"",VLOOKUP(B122,Treatments!$C$7:$J$407,2))</f>
        <v/>
      </c>
      <c r="D122" s="306"/>
      <c r="E122" s="433">
        <f>VLOOKUP(B122,Treatments!$C$7:$J$407,8)</f>
        <v>0</v>
      </c>
      <c r="F122" s="305"/>
      <c r="G122" s="308"/>
      <c r="H122" s="433">
        <f t="shared" si="59"/>
        <v>0</v>
      </c>
      <c r="I122" s="411">
        <f t="shared" si="55"/>
        <v>0</v>
      </c>
      <c r="L122" s="305"/>
      <c r="M122" s="491" t="str">
        <f>VLOOKUP(L122,Treatments!$C$7:$J$407,2)</f>
        <v>No treatment</v>
      </c>
      <c r="N122" s="306"/>
      <c r="O122" s="433">
        <f>VLOOKUP(L122,Treatments!$C$7:$J$407,8)</f>
        <v>0</v>
      </c>
      <c r="P122" s="305"/>
      <c r="Q122" s="160"/>
      <c r="R122" s="308"/>
      <c r="S122" s="433">
        <f t="shared" si="66"/>
        <v>0</v>
      </c>
      <c r="T122" s="411">
        <f t="shared" si="67"/>
        <v>0</v>
      </c>
      <c r="U122" s="1"/>
      <c r="Y122" s="447">
        <f t="shared" si="56"/>
        <v>0</v>
      </c>
      <c r="Z122" s="491" t="str">
        <f>VLOOKUP(Y122,Treatments!$C$7:$J$407,2)</f>
        <v>No treatment</v>
      </c>
      <c r="AA122" s="495">
        <f t="shared" si="57"/>
        <v>0</v>
      </c>
      <c r="AB122" s="433">
        <f>VLOOKUP(Y122,Treatments!$C$7:$J$407,8)</f>
        <v>0</v>
      </c>
      <c r="AC122" s="495">
        <f t="shared" si="58"/>
        <v>0</v>
      </c>
      <c r="AD122" s="496">
        <f t="shared" si="58"/>
        <v>0</v>
      </c>
      <c r="AE122" s="433">
        <f t="shared" si="60"/>
        <v>0</v>
      </c>
      <c r="AF122" s="411">
        <f t="shared" si="48"/>
        <v>0</v>
      </c>
      <c r="AI122" s="447">
        <f t="shared" si="61"/>
        <v>0</v>
      </c>
      <c r="AJ122" s="491" t="str">
        <f>VLOOKUP(AI122,Treatments!$C$7:$J$407,2)</f>
        <v>No treatment</v>
      </c>
      <c r="AK122" s="495">
        <f t="shared" si="62"/>
        <v>0</v>
      </c>
      <c r="AL122" s="433">
        <f>VLOOKUP(AI122,Treatments!$C$7:$J$407,8)</f>
        <v>0</v>
      </c>
      <c r="AM122" s="495">
        <f t="shared" si="63"/>
        <v>0</v>
      </c>
      <c r="AN122" s="160"/>
      <c r="AO122" s="496">
        <f t="shared" si="64"/>
        <v>0</v>
      </c>
      <c r="AP122" s="433">
        <f t="shared" si="68"/>
        <v>0</v>
      </c>
      <c r="AQ122" s="411">
        <f t="shared" si="65"/>
        <v>0</v>
      </c>
      <c r="AR122" s="1"/>
    </row>
    <row r="123" spans="2:44" ht="15.75" x14ac:dyDescent="0.25">
      <c r="B123" s="305"/>
      <c r="C123" s="491" t="str">
        <f>IF(B123&lt;=0,"",VLOOKUP(B123,Treatments!$C$7:$J$407,2))</f>
        <v/>
      </c>
      <c r="D123" s="306"/>
      <c r="E123" s="433">
        <f>VLOOKUP(B123,Treatments!$C$7:$J$407,8)</f>
        <v>0</v>
      </c>
      <c r="F123" s="305"/>
      <c r="G123" s="308"/>
      <c r="H123" s="433">
        <f>D123*E123*F123*G123</f>
        <v>0</v>
      </c>
      <c r="I123" s="411">
        <f t="shared" si="55"/>
        <v>0</v>
      </c>
      <c r="L123" s="305"/>
      <c r="M123" s="491" t="str">
        <f>VLOOKUP(L123,Treatments!$C$7:$J$407,2)</f>
        <v>No treatment</v>
      </c>
      <c r="N123" s="306"/>
      <c r="O123" s="433">
        <f>VLOOKUP(L123,Treatments!$C$7:$J$407,8)</f>
        <v>0</v>
      </c>
      <c r="P123" s="305"/>
      <c r="Q123" s="160"/>
      <c r="R123" s="308"/>
      <c r="S123" s="433">
        <f t="shared" si="66"/>
        <v>0</v>
      </c>
      <c r="T123" s="411">
        <f t="shared" si="67"/>
        <v>0</v>
      </c>
      <c r="U123" s="1"/>
      <c r="Y123" s="447">
        <f t="shared" si="56"/>
        <v>0</v>
      </c>
      <c r="Z123" s="491" t="str">
        <f>VLOOKUP(Y123,Treatments!$C$7:$J$407,2)</f>
        <v>No treatment</v>
      </c>
      <c r="AA123" s="495">
        <f t="shared" si="57"/>
        <v>0</v>
      </c>
      <c r="AB123" s="433">
        <f>VLOOKUP(Y123,Treatments!$C$7:$J$407,8)</f>
        <v>0</v>
      </c>
      <c r="AC123" s="495">
        <f t="shared" si="58"/>
        <v>0</v>
      </c>
      <c r="AD123" s="496">
        <f t="shared" si="58"/>
        <v>0</v>
      </c>
      <c r="AE123" s="433">
        <f>AA123*AB123*AC123*AD123</f>
        <v>0</v>
      </c>
      <c r="AF123" s="411">
        <f t="shared" si="48"/>
        <v>0</v>
      </c>
      <c r="AI123" s="447">
        <f t="shared" si="61"/>
        <v>0</v>
      </c>
      <c r="AJ123" s="491" t="str">
        <f>VLOOKUP(AI123,Treatments!$C$7:$J$407,2)</f>
        <v>No treatment</v>
      </c>
      <c r="AK123" s="495">
        <f t="shared" si="62"/>
        <v>0</v>
      </c>
      <c r="AL123" s="433">
        <f>VLOOKUP(AI123,Treatments!$C$7:$J$407,8)</f>
        <v>0</v>
      </c>
      <c r="AM123" s="495">
        <f t="shared" si="63"/>
        <v>0</v>
      </c>
      <c r="AN123" s="160"/>
      <c r="AO123" s="496">
        <f t="shared" si="64"/>
        <v>0</v>
      </c>
      <c r="AP123" s="433">
        <f t="shared" si="68"/>
        <v>0</v>
      </c>
      <c r="AQ123" s="411">
        <f t="shared" si="65"/>
        <v>0</v>
      </c>
      <c r="AR123" s="1"/>
    </row>
    <row r="124" spans="2:44" ht="15.75" x14ac:dyDescent="0.25">
      <c r="B124" s="305"/>
      <c r="C124" s="491" t="str">
        <f>IF(B124&lt;=0,"",VLOOKUP(B124,Treatments!$C$7:$J$407,2))</f>
        <v/>
      </c>
      <c r="D124" s="306"/>
      <c r="E124" s="433">
        <f>VLOOKUP(B124,Treatments!$C$7:$J$407,8)</f>
        <v>0</v>
      </c>
      <c r="F124" s="305"/>
      <c r="G124" s="308"/>
      <c r="H124" s="433">
        <f>D124*E124*F124*G124</f>
        <v>0</v>
      </c>
      <c r="I124" s="411">
        <f t="shared" si="55"/>
        <v>0</v>
      </c>
      <c r="L124" s="305"/>
      <c r="M124" s="491" t="str">
        <f>VLOOKUP(L124,Treatments!$C$7:$J$407,2)</f>
        <v>No treatment</v>
      </c>
      <c r="N124" s="306"/>
      <c r="O124" s="433">
        <f>VLOOKUP(L124,Treatments!$C$7:$J$407,8)</f>
        <v>0</v>
      </c>
      <c r="P124" s="305"/>
      <c r="Q124" s="160"/>
      <c r="R124" s="308"/>
      <c r="S124" s="433">
        <f t="shared" si="66"/>
        <v>0</v>
      </c>
      <c r="T124" s="411">
        <f t="shared" si="67"/>
        <v>0</v>
      </c>
      <c r="U124" s="1"/>
      <c r="Y124" s="447">
        <f t="shared" si="56"/>
        <v>0</v>
      </c>
      <c r="Z124" s="491" t="str">
        <f>VLOOKUP(Y124,Treatments!$C$7:$J$407,2)</f>
        <v>No treatment</v>
      </c>
      <c r="AA124" s="495">
        <f t="shared" si="57"/>
        <v>0</v>
      </c>
      <c r="AB124" s="433">
        <f>VLOOKUP(Y124,Treatments!$C$7:$J$407,8)</f>
        <v>0</v>
      </c>
      <c r="AC124" s="495">
        <f t="shared" si="58"/>
        <v>0</v>
      </c>
      <c r="AD124" s="496">
        <f t="shared" si="58"/>
        <v>0</v>
      </c>
      <c r="AE124" s="433">
        <f>AA124*AB124*AC124*AD124</f>
        <v>0</v>
      </c>
      <c r="AF124" s="411">
        <f t="shared" si="48"/>
        <v>0</v>
      </c>
      <c r="AI124" s="447">
        <f t="shared" si="61"/>
        <v>0</v>
      </c>
      <c r="AJ124" s="491" t="str">
        <f>VLOOKUP(AI124,Treatments!$C$7:$J$407,2)</f>
        <v>No treatment</v>
      </c>
      <c r="AK124" s="495">
        <f t="shared" si="62"/>
        <v>0</v>
      </c>
      <c r="AL124" s="433">
        <f>VLOOKUP(AI124,Treatments!$C$7:$J$407,8)</f>
        <v>0</v>
      </c>
      <c r="AM124" s="495">
        <f t="shared" si="63"/>
        <v>0</v>
      </c>
      <c r="AN124" s="160"/>
      <c r="AO124" s="496">
        <f t="shared" si="64"/>
        <v>0</v>
      </c>
      <c r="AP124" s="433">
        <f t="shared" si="68"/>
        <v>0</v>
      </c>
      <c r="AQ124" s="411">
        <f t="shared" si="65"/>
        <v>0</v>
      </c>
      <c r="AR124" s="1"/>
    </row>
    <row r="125" spans="2:44" ht="15.75" x14ac:dyDescent="0.25">
      <c r="B125" s="304"/>
      <c r="C125" s="1"/>
      <c r="D125" s="304"/>
      <c r="E125" s="1"/>
      <c r="F125" s="304"/>
      <c r="G125" s="312"/>
      <c r="H125" s="1"/>
      <c r="I125" s="1"/>
      <c r="L125" s="305"/>
      <c r="M125" s="491" t="str">
        <f>VLOOKUP(L125,Treatments!$C$7:$J$407,2)</f>
        <v>No treatment</v>
      </c>
      <c r="N125" s="306"/>
      <c r="O125" s="433">
        <f>VLOOKUP(L125,Treatments!$C$7:$J$407,8)</f>
        <v>0</v>
      </c>
      <c r="P125" s="305"/>
      <c r="Q125" s="160"/>
      <c r="R125" s="308"/>
      <c r="S125" s="433">
        <f t="shared" si="66"/>
        <v>0</v>
      </c>
      <c r="T125" s="411">
        <f t="shared" si="67"/>
        <v>0</v>
      </c>
      <c r="U125" s="1"/>
      <c r="Y125" s="1"/>
      <c r="Z125" s="1"/>
      <c r="AA125" s="6"/>
      <c r="AB125" s="6"/>
      <c r="AC125" s="6"/>
      <c r="AD125" s="6"/>
      <c r="AE125" s="6"/>
      <c r="AF125" s="6"/>
      <c r="AI125" s="447">
        <f t="shared" si="61"/>
        <v>0</v>
      </c>
      <c r="AJ125" s="491" t="str">
        <f>VLOOKUP(AI125,Treatments!$C$7:$J$407,2)</f>
        <v>No treatment</v>
      </c>
      <c r="AK125" s="495">
        <f t="shared" si="62"/>
        <v>0</v>
      </c>
      <c r="AL125" s="433">
        <f>VLOOKUP(AI125,Treatments!$C$7:$J$407,8)</f>
        <v>0</v>
      </c>
      <c r="AM125" s="495">
        <f t="shared" si="63"/>
        <v>0</v>
      </c>
      <c r="AN125" s="160"/>
      <c r="AO125" s="496">
        <f t="shared" si="64"/>
        <v>0</v>
      </c>
      <c r="AP125" s="433">
        <f t="shared" si="68"/>
        <v>0</v>
      </c>
      <c r="AQ125" s="411">
        <f t="shared" si="65"/>
        <v>0</v>
      </c>
      <c r="AR125" s="1"/>
    </row>
    <row r="126" spans="2:44" ht="15.75" x14ac:dyDescent="0.25">
      <c r="B126" s="379" t="s">
        <v>994</v>
      </c>
      <c r="C126" s="502" t="s">
        <v>580</v>
      </c>
      <c r="D126" s="381" t="s">
        <v>616</v>
      </c>
      <c r="E126" s="501" t="s">
        <v>619</v>
      </c>
      <c r="F126" s="382" t="s">
        <v>617</v>
      </c>
      <c r="G126" s="382" t="s">
        <v>618</v>
      </c>
      <c r="H126" s="505"/>
      <c r="I126" s="506"/>
      <c r="L126" s="305"/>
      <c r="M126" s="491" t="str">
        <f>VLOOKUP(L126,Treatments!$C$7:$J$407,2)</f>
        <v>No treatment</v>
      </c>
      <c r="N126" s="306"/>
      <c r="O126" s="433">
        <f>VLOOKUP(L126,Treatments!$C$7:$J$407,8)</f>
        <v>0</v>
      </c>
      <c r="P126" s="305"/>
      <c r="Q126" s="160"/>
      <c r="R126" s="308"/>
      <c r="S126" s="433">
        <f t="shared" si="66"/>
        <v>0</v>
      </c>
      <c r="T126" s="411">
        <f t="shared" si="67"/>
        <v>0</v>
      </c>
      <c r="U126" s="1"/>
      <c r="Y126" s="6" t="s">
        <v>994</v>
      </c>
      <c r="Z126" s="5" t="s">
        <v>580</v>
      </c>
      <c r="AA126" s="6" t="s">
        <v>616</v>
      </c>
      <c r="AB126" s="6" t="s">
        <v>619</v>
      </c>
      <c r="AC126" s="6" t="s">
        <v>617</v>
      </c>
      <c r="AD126" s="6" t="s">
        <v>618</v>
      </c>
      <c r="AE126" s="507"/>
      <c r="AF126" s="508"/>
      <c r="AI126" s="447">
        <f t="shared" si="61"/>
        <v>0</v>
      </c>
      <c r="AJ126" s="491" t="str">
        <f>VLOOKUP(AI126,Treatments!$C$7:$J$407,2)</f>
        <v>No treatment</v>
      </c>
      <c r="AK126" s="495">
        <f t="shared" si="62"/>
        <v>0</v>
      </c>
      <c r="AL126" s="433">
        <f>VLOOKUP(AI126,Treatments!$C$7:$J$407,8)</f>
        <v>0</v>
      </c>
      <c r="AM126" s="495">
        <f t="shared" si="63"/>
        <v>0</v>
      </c>
      <c r="AN126" s="160"/>
      <c r="AO126" s="496">
        <f t="shared" si="64"/>
        <v>0</v>
      </c>
      <c r="AP126" s="433">
        <f t="shared" si="68"/>
        <v>0</v>
      </c>
      <c r="AQ126" s="411">
        <f t="shared" si="65"/>
        <v>0</v>
      </c>
      <c r="AR126" s="1"/>
    </row>
    <row r="127" spans="2:44" ht="15.75" x14ac:dyDescent="0.25">
      <c r="B127" s="305"/>
      <c r="C127" s="491" t="str">
        <f>IF(B127&lt;=0,"",VLOOKUP(B127,Treatments!$C$7:$J$407,2))</f>
        <v/>
      </c>
      <c r="D127" s="306"/>
      <c r="E127" s="433">
        <f>VLOOKUP(B127,Treatments!$C$7:$J$407,8)</f>
        <v>0</v>
      </c>
      <c r="F127" s="305"/>
      <c r="G127" s="308"/>
      <c r="H127" s="433">
        <f t="shared" ref="H127:H138" si="69">D127*E127*F127*G127</f>
        <v>0</v>
      </c>
      <c r="I127" s="411">
        <f>H127*$D$9</f>
        <v>0</v>
      </c>
      <c r="L127" s="305"/>
      <c r="M127" s="491" t="str">
        <f>VLOOKUP(L127,Treatments!$C$7:$J$407,2)</f>
        <v>No treatment</v>
      </c>
      <c r="N127" s="306"/>
      <c r="O127" s="433">
        <f>VLOOKUP(L127,Treatments!$C$7:$J$407,8)</f>
        <v>0</v>
      </c>
      <c r="P127" s="305"/>
      <c r="Q127" s="160"/>
      <c r="R127" s="308"/>
      <c r="S127" s="433">
        <f t="shared" si="66"/>
        <v>0</v>
      </c>
      <c r="T127" s="411">
        <f t="shared" si="67"/>
        <v>0</v>
      </c>
      <c r="U127" s="1"/>
      <c r="Y127" s="447">
        <f>IF(AND(B127&gt;=344,B127&lt;=358),B127+15,B127)</f>
        <v>0</v>
      </c>
      <c r="Z127" s="491" t="str">
        <f>VLOOKUP(Y127,Treatments!$C$7:$J$407,2)</f>
        <v>No treatment</v>
      </c>
      <c r="AA127" s="495">
        <f t="shared" ref="AA127:AA138" si="70">D127</f>
        <v>0</v>
      </c>
      <c r="AB127" s="433">
        <f>VLOOKUP(Y127,Treatments!$C$7:$J$407,8)</f>
        <v>0</v>
      </c>
      <c r="AC127" s="495">
        <f t="shared" ref="AC127:AD138" si="71">F127</f>
        <v>0</v>
      </c>
      <c r="AD127" s="496">
        <f t="shared" si="71"/>
        <v>0</v>
      </c>
      <c r="AE127" s="433">
        <f t="shared" ref="AE127:AE138" si="72">AA127*AB127*AC127*AD127</f>
        <v>0</v>
      </c>
      <c r="AF127" s="411">
        <f t="shared" ref="AF127:AF138" si="73">AE127*$D$9</f>
        <v>0</v>
      </c>
      <c r="AI127" s="447">
        <f t="shared" si="61"/>
        <v>0</v>
      </c>
      <c r="AJ127" s="491" t="str">
        <f>VLOOKUP(AI127,Treatments!$C$7:$J$407,2)</f>
        <v>No treatment</v>
      </c>
      <c r="AK127" s="495">
        <f t="shared" si="62"/>
        <v>0</v>
      </c>
      <c r="AL127" s="433">
        <f>VLOOKUP(AI127,Treatments!$C$7:$J$407,8)</f>
        <v>0</v>
      </c>
      <c r="AM127" s="495">
        <f t="shared" si="63"/>
        <v>0</v>
      </c>
      <c r="AN127" s="160"/>
      <c r="AO127" s="496">
        <f t="shared" si="64"/>
        <v>0</v>
      </c>
      <c r="AP127" s="433">
        <f t="shared" si="68"/>
        <v>0</v>
      </c>
      <c r="AQ127" s="411">
        <f t="shared" si="65"/>
        <v>0</v>
      </c>
      <c r="AR127" s="1"/>
    </row>
    <row r="128" spans="2:44" ht="15.75" x14ac:dyDescent="0.25">
      <c r="B128" s="305"/>
      <c r="C128" s="491" t="str">
        <f>IF(B128&lt;=0,"",VLOOKUP(B128,Treatments!$C$7:$J$407,2))</f>
        <v/>
      </c>
      <c r="D128" s="306"/>
      <c r="E128" s="433">
        <f>VLOOKUP(B128,Treatments!$C$7:$J$407,8)</f>
        <v>0</v>
      </c>
      <c r="F128" s="305"/>
      <c r="G128" s="308"/>
      <c r="H128" s="433">
        <f t="shared" si="69"/>
        <v>0</v>
      </c>
      <c r="I128" s="411">
        <f t="shared" ref="I128:I138" si="74">H128*$D$9</f>
        <v>0</v>
      </c>
      <c r="L128" s="435"/>
      <c r="M128" s="491" t="str">
        <f>VLOOKUP(L128,Treatments!$C$7:$J$407,2)</f>
        <v>No treatment</v>
      </c>
      <c r="N128" s="492"/>
      <c r="O128" s="433">
        <f>VLOOKUP(L128,Treatments!$C$7:$J$407,8)</f>
        <v>0</v>
      </c>
      <c r="P128" s="435"/>
      <c r="Q128" s="160"/>
      <c r="R128" s="493"/>
      <c r="S128" s="433">
        <f t="shared" si="66"/>
        <v>0</v>
      </c>
      <c r="T128" s="411">
        <f t="shared" si="67"/>
        <v>0</v>
      </c>
      <c r="U128" s="1"/>
      <c r="Y128" s="447">
        <f t="shared" ref="Y128:Y138" si="75">IF(AND(B128&gt;=344,B128&lt;=358),B128+15,B128)</f>
        <v>0</v>
      </c>
      <c r="Z128" s="491" t="str">
        <f>VLOOKUP(Y128,Treatments!$C$7:$J$407,2)</f>
        <v>No treatment</v>
      </c>
      <c r="AA128" s="495">
        <f t="shared" si="70"/>
        <v>0</v>
      </c>
      <c r="AB128" s="433">
        <f>VLOOKUP(Y128,Treatments!$C$7:$J$407,8)</f>
        <v>0</v>
      </c>
      <c r="AC128" s="495">
        <f t="shared" si="71"/>
        <v>0</v>
      </c>
      <c r="AD128" s="496">
        <f t="shared" si="71"/>
        <v>0</v>
      </c>
      <c r="AE128" s="433">
        <f t="shared" si="72"/>
        <v>0</v>
      </c>
      <c r="AF128" s="411">
        <f t="shared" si="73"/>
        <v>0</v>
      </c>
      <c r="AI128" s="447">
        <f t="shared" si="61"/>
        <v>0</v>
      </c>
      <c r="AJ128" s="491" t="str">
        <f>VLOOKUP(AI128,Treatments!$C$7:$J$407,2)</f>
        <v>No treatment</v>
      </c>
      <c r="AK128" s="495">
        <f t="shared" si="62"/>
        <v>0</v>
      </c>
      <c r="AL128" s="433">
        <f>VLOOKUP(AI128,Treatments!$C$7:$J$407,8)</f>
        <v>0</v>
      </c>
      <c r="AM128" s="495">
        <f t="shared" si="63"/>
        <v>0</v>
      </c>
      <c r="AN128" s="160"/>
      <c r="AO128" s="496">
        <f t="shared" si="64"/>
        <v>0</v>
      </c>
      <c r="AP128" s="433">
        <f t="shared" si="68"/>
        <v>0</v>
      </c>
      <c r="AQ128" s="411">
        <f t="shared" si="65"/>
        <v>0</v>
      </c>
      <c r="AR128" s="1"/>
    </row>
    <row r="129" spans="2:44" ht="15.75" x14ac:dyDescent="0.25">
      <c r="B129" s="305"/>
      <c r="C129" s="491" t="str">
        <f>IF(B129&lt;=0,"",VLOOKUP(B129,Treatments!$C$7:$J$407,2))</f>
        <v/>
      </c>
      <c r="D129" s="306"/>
      <c r="E129" s="433">
        <f>VLOOKUP(B129,Treatments!$C$7:$J$407,8)</f>
        <v>0</v>
      </c>
      <c r="F129" s="305"/>
      <c r="G129" s="308"/>
      <c r="H129" s="433">
        <f t="shared" si="69"/>
        <v>0</v>
      </c>
      <c r="I129" s="411">
        <f t="shared" si="74"/>
        <v>0</v>
      </c>
      <c r="L129" s="435"/>
      <c r="M129" s="491" t="str">
        <f>VLOOKUP(L129,Treatments!$C$7:$J$407,2)</f>
        <v>No treatment</v>
      </c>
      <c r="N129" s="492"/>
      <c r="O129" s="433">
        <f>VLOOKUP(L129,Treatments!$C$7:$J$407,8)</f>
        <v>0</v>
      </c>
      <c r="P129" s="435"/>
      <c r="Q129" s="498"/>
      <c r="R129" s="493"/>
      <c r="S129" s="433">
        <f t="shared" si="66"/>
        <v>0</v>
      </c>
      <c r="T129" s="411">
        <f t="shared" si="67"/>
        <v>0</v>
      </c>
      <c r="U129" s="1"/>
      <c r="Y129" s="447">
        <f t="shared" si="75"/>
        <v>0</v>
      </c>
      <c r="Z129" s="491" t="str">
        <f>VLOOKUP(Y129,Treatments!$C$7:$J$407,2)</f>
        <v>No treatment</v>
      </c>
      <c r="AA129" s="495">
        <f t="shared" si="70"/>
        <v>0</v>
      </c>
      <c r="AB129" s="433">
        <f>VLOOKUP(Y129,Treatments!$C$7:$J$407,8)</f>
        <v>0</v>
      </c>
      <c r="AC129" s="495">
        <f t="shared" si="71"/>
        <v>0</v>
      </c>
      <c r="AD129" s="496">
        <f t="shared" si="71"/>
        <v>0</v>
      </c>
      <c r="AE129" s="433">
        <f t="shared" si="72"/>
        <v>0</v>
      </c>
      <c r="AF129" s="411">
        <f t="shared" si="73"/>
        <v>0</v>
      </c>
      <c r="AI129" s="447">
        <f t="shared" si="61"/>
        <v>0</v>
      </c>
      <c r="AJ129" s="491" t="str">
        <f>VLOOKUP(AI129,Treatments!$C$7:$J$407,2)</f>
        <v>No treatment</v>
      </c>
      <c r="AK129" s="495">
        <f t="shared" si="62"/>
        <v>0</v>
      </c>
      <c r="AL129" s="433">
        <f>VLOOKUP(AI129,Treatments!$C$7:$J$407,8)</f>
        <v>0</v>
      </c>
      <c r="AM129" s="495">
        <f t="shared" si="63"/>
        <v>0</v>
      </c>
      <c r="AN129" s="498"/>
      <c r="AO129" s="496">
        <f t="shared" si="64"/>
        <v>0</v>
      </c>
      <c r="AP129" s="433">
        <f t="shared" si="68"/>
        <v>0</v>
      </c>
      <c r="AQ129" s="411">
        <f t="shared" si="65"/>
        <v>0</v>
      </c>
      <c r="AR129" s="1"/>
    </row>
    <row r="130" spans="2:44" ht="15.75" x14ac:dyDescent="0.25">
      <c r="B130" s="305"/>
      <c r="C130" s="491" t="str">
        <f>IF(B130&lt;=0,"",VLOOKUP(B130,Treatments!$C$7:$J$407,2))</f>
        <v/>
      </c>
      <c r="D130" s="306"/>
      <c r="E130" s="433">
        <f>VLOOKUP(B130,Treatments!$C$7:$J$407,8)</f>
        <v>0</v>
      </c>
      <c r="F130" s="305"/>
      <c r="G130" s="308"/>
      <c r="H130" s="433">
        <f t="shared" si="69"/>
        <v>0</v>
      </c>
      <c r="I130" s="411">
        <f t="shared" si="74"/>
        <v>0</v>
      </c>
      <c r="L130" s="1"/>
      <c r="M130" s="1"/>
      <c r="N130" s="1"/>
      <c r="O130" s="1"/>
      <c r="P130" s="1"/>
      <c r="Q130" s="1"/>
      <c r="R130" s="6"/>
      <c r="S130" s="1"/>
      <c r="T130" s="1"/>
      <c r="U130" s="1"/>
      <c r="Y130" s="447">
        <f t="shared" si="75"/>
        <v>0</v>
      </c>
      <c r="Z130" s="491" t="str">
        <f>VLOOKUP(Y130,Treatments!$C$7:$J$407,2)</f>
        <v>No treatment</v>
      </c>
      <c r="AA130" s="495">
        <f t="shared" si="70"/>
        <v>0</v>
      </c>
      <c r="AB130" s="433">
        <f>VLOOKUP(Y130,Treatments!$C$7:$J$407,8)</f>
        <v>0</v>
      </c>
      <c r="AC130" s="495">
        <f t="shared" si="71"/>
        <v>0</v>
      </c>
      <c r="AD130" s="496">
        <f t="shared" si="71"/>
        <v>0</v>
      </c>
      <c r="AE130" s="433">
        <f t="shared" si="72"/>
        <v>0</v>
      </c>
      <c r="AF130" s="411">
        <f t="shared" si="73"/>
        <v>0</v>
      </c>
      <c r="AI130" s="509"/>
      <c r="AJ130" s="1"/>
      <c r="AK130" s="1"/>
      <c r="AL130" s="1"/>
      <c r="AM130" s="1"/>
      <c r="AN130" s="1"/>
      <c r="AO130" s="6"/>
      <c r="AP130" s="1"/>
      <c r="AQ130" s="1"/>
      <c r="AR130" s="1"/>
    </row>
    <row r="131" spans="2:44" ht="15.75" x14ac:dyDescent="0.25">
      <c r="B131" s="305"/>
      <c r="C131" s="491" t="str">
        <f>IF(B131&lt;=0,"",VLOOKUP(B131,Treatments!$C$7:$J$407,2))</f>
        <v/>
      </c>
      <c r="D131" s="306"/>
      <c r="E131" s="433">
        <f>VLOOKUP(B131,Treatments!$C$7:$J$407,8)</f>
        <v>0</v>
      </c>
      <c r="F131" s="305"/>
      <c r="G131" s="308"/>
      <c r="H131" s="433">
        <f t="shared" si="69"/>
        <v>0</v>
      </c>
      <c r="I131" s="411">
        <f t="shared" si="74"/>
        <v>0</v>
      </c>
      <c r="L131" s="482" t="s">
        <v>994</v>
      </c>
      <c r="M131" s="483" t="s">
        <v>581</v>
      </c>
      <c r="N131" s="484" t="s">
        <v>616</v>
      </c>
      <c r="O131" s="482" t="s">
        <v>619</v>
      </c>
      <c r="P131" s="485" t="s">
        <v>617</v>
      </c>
      <c r="Q131" s="482"/>
      <c r="R131" s="485" t="s">
        <v>618</v>
      </c>
      <c r="S131" s="487"/>
      <c r="T131" s="487"/>
      <c r="U131" s="1"/>
      <c r="Y131" s="447">
        <f t="shared" si="75"/>
        <v>0</v>
      </c>
      <c r="Z131" s="491" t="str">
        <f>VLOOKUP(Y131,Treatments!$C$7:$J$407,2)</f>
        <v>No treatment</v>
      </c>
      <c r="AA131" s="495">
        <f t="shared" si="70"/>
        <v>0</v>
      </c>
      <c r="AB131" s="433">
        <f>VLOOKUP(Y131,Treatments!$C$7:$J$407,8)</f>
        <v>0</v>
      </c>
      <c r="AC131" s="495">
        <f t="shared" si="71"/>
        <v>0</v>
      </c>
      <c r="AD131" s="496">
        <f t="shared" si="71"/>
        <v>0</v>
      </c>
      <c r="AE131" s="433">
        <f t="shared" si="72"/>
        <v>0</v>
      </c>
      <c r="AF131" s="411">
        <f t="shared" si="73"/>
        <v>0</v>
      </c>
      <c r="AI131" s="499" t="s">
        <v>994</v>
      </c>
      <c r="AJ131" s="5" t="s">
        <v>581</v>
      </c>
      <c r="AK131" s="14" t="s">
        <v>616</v>
      </c>
      <c r="AL131" s="6" t="s">
        <v>619</v>
      </c>
      <c r="AM131" s="1" t="s">
        <v>617</v>
      </c>
      <c r="AN131" s="6"/>
      <c r="AO131" s="1" t="s">
        <v>618</v>
      </c>
      <c r="AP131" s="500"/>
      <c r="AQ131" s="62"/>
      <c r="AR131" s="1"/>
    </row>
    <row r="132" spans="2:44" ht="15.75" x14ac:dyDescent="0.25">
      <c r="B132" s="305"/>
      <c r="C132" s="491" t="str">
        <f>IF(B132&lt;=0,"",VLOOKUP(B132,Treatments!$C$7:$J$407,2))</f>
        <v/>
      </c>
      <c r="D132" s="306"/>
      <c r="E132" s="433">
        <f>VLOOKUP(B132,Treatments!$C$7:$J$407,8)</f>
        <v>0</v>
      </c>
      <c r="F132" s="305"/>
      <c r="G132" s="308"/>
      <c r="H132" s="433">
        <f t="shared" si="69"/>
        <v>0</v>
      </c>
      <c r="I132" s="411">
        <f t="shared" si="74"/>
        <v>0</v>
      </c>
      <c r="L132" s="305"/>
      <c r="M132" s="491" t="str">
        <f>VLOOKUP(L132,Treatments!$C$7:$J$407,2)</f>
        <v>No treatment</v>
      </c>
      <c r="N132" s="306"/>
      <c r="O132" s="433">
        <f>VLOOKUP(L132,Treatments!$C$7:$J$407,8)</f>
        <v>0</v>
      </c>
      <c r="P132" s="305"/>
      <c r="Q132" s="494"/>
      <c r="R132" s="308"/>
      <c r="S132" s="433">
        <f t="shared" ref="S132:S137" si="76">N132*O132*P132*R132</f>
        <v>0</v>
      </c>
      <c r="T132" s="411">
        <f t="shared" ref="T132:T138" si="77">S132*$D$9</f>
        <v>0</v>
      </c>
      <c r="U132" s="1"/>
      <c r="Y132" s="447">
        <f t="shared" si="75"/>
        <v>0</v>
      </c>
      <c r="Z132" s="491" t="str">
        <f>VLOOKUP(Y132,Treatments!$C$7:$J$407,2)</f>
        <v>No treatment</v>
      </c>
      <c r="AA132" s="495">
        <f t="shared" si="70"/>
        <v>0</v>
      </c>
      <c r="AB132" s="433">
        <f>VLOOKUP(Y132,Treatments!$C$7:$J$407,8)</f>
        <v>0</v>
      </c>
      <c r="AC132" s="495">
        <f t="shared" si="71"/>
        <v>0</v>
      </c>
      <c r="AD132" s="496">
        <f t="shared" si="71"/>
        <v>0</v>
      </c>
      <c r="AE132" s="433">
        <f t="shared" si="72"/>
        <v>0</v>
      </c>
      <c r="AF132" s="411">
        <f t="shared" si="73"/>
        <v>0</v>
      </c>
      <c r="AI132" s="447">
        <f t="shared" ref="AI132:AI137" si="78">IF(AND(L132&gt;=344,L132&lt;=358),L132+15,L132)</f>
        <v>0</v>
      </c>
      <c r="AJ132" s="491" t="str">
        <f>VLOOKUP(AI132,Treatments!$C$7:$J$407,2)</f>
        <v>No treatment</v>
      </c>
      <c r="AK132" s="495">
        <f t="shared" ref="AK132:AK137" si="79">N132</f>
        <v>0</v>
      </c>
      <c r="AL132" s="433">
        <f>VLOOKUP(AI132,Treatments!$C$7:$J$407,8)</f>
        <v>0</v>
      </c>
      <c r="AM132" s="495">
        <f t="shared" ref="AM132:AM137" si="80">P132</f>
        <v>0</v>
      </c>
      <c r="AN132" s="494"/>
      <c r="AO132" s="496">
        <f t="shared" ref="AO132:AO137" si="81">R132</f>
        <v>0</v>
      </c>
      <c r="AP132" s="433">
        <f t="shared" ref="AP132:AP137" si="82">AK132*AL132*AM132*AO132</f>
        <v>0</v>
      </c>
      <c r="AQ132" s="411">
        <f t="shared" ref="AQ132:AQ137" si="83">AP132*$D$9</f>
        <v>0</v>
      </c>
      <c r="AR132" s="1"/>
    </row>
    <row r="133" spans="2:44" ht="15.75" x14ac:dyDescent="0.25">
      <c r="B133" s="305"/>
      <c r="C133" s="491" t="str">
        <f>IF(B133&lt;=0,"",VLOOKUP(B133,Treatments!$C$7:$J$407,2))</f>
        <v/>
      </c>
      <c r="D133" s="306"/>
      <c r="E133" s="433">
        <f>VLOOKUP(B133,Treatments!$C$7:$J$407,8)</f>
        <v>0</v>
      </c>
      <c r="F133" s="305"/>
      <c r="G133" s="308"/>
      <c r="H133" s="433">
        <f t="shared" si="69"/>
        <v>0</v>
      </c>
      <c r="I133" s="411">
        <f t="shared" si="74"/>
        <v>0</v>
      </c>
      <c r="L133" s="305"/>
      <c r="M133" s="491" t="str">
        <f>VLOOKUP(L133,Treatments!$C$7:$J$407,2)</f>
        <v>No treatment</v>
      </c>
      <c r="N133" s="306"/>
      <c r="O133" s="433">
        <f>VLOOKUP(L133,Treatments!$C$7:$J$407,8)</f>
        <v>0</v>
      </c>
      <c r="P133" s="305"/>
      <c r="Q133" s="160"/>
      <c r="R133" s="308"/>
      <c r="S133" s="433">
        <f t="shared" si="76"/>
        <v>0</v>
      </c>
      <c r="T133" s="411">
        <f t="shared" si="77"/>
        <v>0</v>
      </c>
      <c r="U133" s="1"/>
      <c r="Y133" s="447">
        <f t="shared" si="75"/>
        <v>0</v>
      </c>
      <c r="Z133" s="491" t="str">
        <f>VLOOKUP(Y133,Treatments!$C$7:$J$407,2)</f>
        <v>No treatment</v>
      </c>
      <c r="AA133" s="495">
        <f t="shared" si="70"/>
        <v>0</v>
      </c>
      <c r="AB133" s="433">
        <f>VLOOKUP(Y133,Treatments!$C$7:$J$407,8)</f>
        <v>0</v>
      </c>
      <c r="AC133" s="495">
        <f t="shared" si="71"/>
        <v>0</v>
      </c>
      <c r="AD133" s="496">
        <f t="shared" si="71"/>
        <v>0</v>
      </c>
      <c r="AE133" s="433">
        <f t="shared" si="72"/>
        <v>0</v>
      </c>
      <c r="AF133" s="411">
        <f t="shared" si="73"/>
        <v>0</v>
      </c>
      <c r="AI133" s="447">
        <f t="shared" si="78"/>
        <v>0</v>
      </c>
      <c r="AJ133" s="491" t="str">
        <f>VLOOKUP(AI133,Treatments!$C$7:$J$407,2)</f>
        <v>No treatment</v>
      </c>
      <c r="AK133" s="495">
        <f t="shared" si="79"/>
        <v>0</v>
      </c>
      <c r="AL133" s="433">
        <f>VLOOKUP(AI133,Treatments!$C$7:$J$407,8)</f>
        <v>0</v>
      </c>
      <c r="AM133" s="495">
        <f t="shared" si="80"/>
        <v>0</v>
      </c>
      <c r="AN133" s="160"/>
      <c r="AO133" s="496">
        <f t="shared" si="81"/>
        <v>0</v>
      </c>
      <c r="AP133" s="433">
        <f t="shared" si="82"/>
        <v>0</v>
      </c>
      <c r="AQ133" s="411">
        <f t="shared" si="83"/>
        <v>0</v>
      </c>
      <c r="AR133" s="1"/>
    </row>
    <row r="134" spans="2:44" ht="15.75" x14ac:dyDescent="0.25">
      <c r="B134" s="305"/>
      <c r="C134" s="491" t="str">
        <f>IF(B134&lt;=0,"",VLOOKUP(B134,Treatments!$C$7:$J$407,2))</f>
        <v/>
      </c>
      <c r="D134" s="306"/>
      <c r="E134" s="433">
        <f>VLOOKUP(B134,Treatments!$C$7:$J$407,8)</f>
        <v>0</v>
      </c>
      <c r="F134" s="305"/>
      <c r="G134" s="308"/>
      <c r="H134" s="433">
        <f t="shared" si="69"/>
        <v>0</v>
      </c>
      <c r="I134" s="411">
        <f t="shared" si="74"/>
        <v>0</v>
      </c>
      <c r="L134" s="305"/>
      <c r="M134" s="491" t="str">
        <f>VLOOKUP(L134,Treatments!$C$7:$J$407,2)</f>
        <v>No treatment</v>
      </c>
      <c r="N134" s="306"/>
      <c r="O134" s="433">
        <f>VLOOKUP(L134,Treatments!$C$7:$J$407,8)</f>
        <v>0</v>
      </c>
      <c r="P134" s="305"/>
      <c r="Q134" s="160"/>
      <c r="R134" s="308"/>
      <c r="S134" s="433">
        <f t="shared" si="76"/>
        <v>0</v>
      </c>
      <c r="T134" s="411">
        <f t="shared" si="77"/>
        <v>0</v>
      </c>
      <c r="U134" s="1"/>
      <c r="Y134" s="447">
        <f t="shared" si="75"/>
        <v>0</v>
      </c>
      <c r="Z134" s="491" t="str">
        <f>VLOOKUP(Y134,Treatments!$C$7:$J$407,2)</f>
        <v>No treatment</v>
      </c>
      <c r="AA134" s="495">
        <f t="shared" si="70"/>
        <v>0</v>
      </c>
      <c r="AB134" s="433">
        <f>VLOOKUP(Y134,Treatments!$C$7:$J$407,8)</f>
        <v>0</v>
      </c>
      <c r="AC134" s="495">
        <f t="shared" si="71"/>
        <v>0</v>
      </c>
      <c r="AD134" s="496">
        <f t="shared" si="71"/>
        <v>0</v>
      </c>
      <c r="AE134" s="433">
        <f t="shared" si="72"/>
        <v>0</v>
      </c>
      <c r="AF134" s="411">
        <f t="shared" si="73"/>
        <v>0</v>
      </c>
      <c r="AI134" s="447">
        <f t="shared" si="78"/>
        <v>0</v>
      </c>
      <c r="AJ134" s="491" t="str">
        <f>VLOOKUP(AI134,Treatments!$C$7:$J$407,2)</f>
        <v>No treatment</v>
      </c>
      <c r="AK134" s="495">
        <f t="shared" si="79"/>
        <v>0</v>
      </c>
      <c r="AL134" s="433">
        <f>VLOOKUP(AI134,Treatments!$C$7:$J$407,8)</f>
        <v>0</v>
      </c>
      <c r="AM134" s="495">
        <f t="shared" si="80"/>
        <v>0</v>
      </c>
      <c r="AN134" s="160"/>
      <c r="AO134" s="496">
        <f t="shared" si="81"/>
        <v>0</v>
      </c>
      <c r="AP134" s="433">
        <f t="shared" si="82"/>
        <v>0</v>
      </c>
      <c r="AQ134" s="411">
        <f t="shared" si="83"/>
        <v>0</v>
      </c>
      <c r="AR134" s="1"/>
    </row>
    <row r="135" spans="2:44" ht="15.75" x14ac:dyDescent="0.25">
      <c r="B135" s="305"/>
      <c r="C135" s="491" t="str">
        <f>IF(B135&lt;=0,"",VLOOKUP(B135,Treatments!$C$7:$J$407,2))</f>
        <v/>
      </c>
      <c r="D135" s="306"/>
      <c r="E135" s="433">
        <f>VLOOKUP(B135,Treatments!$C$7:$J$407,8)</f>
        <v>0</v>
      </c>
      <c r="F135" s="305"/>
      <c r="G135" s="308"/>
      <c r="H135" s="433">
        <f t="shared" si="69"/>
        <v>0</v>
      </c>
      <c r="I135" s="411">
        <f t="shared" si="74"/>
        <v>0</v>
      </c>
      <c r="L135" s="305"/>
      <c r="M135" s="491" t="str">
        <f>VLOOKUP(L135,Treatments!$C$7:$J$407,2)</f>
        <v>No treatment</v>
      </c>
      <c r="N135" s="306"/>
      <c r="O135" s="433">
        <f>VLOOKUP(L135,Treatments!$C$7:$J$407,8)</f>
        <v>0</v>
      </c>
      <c r="P135" s="305"/>
      <c r="Q135" s="160"/>
      <c r="R135" s="308"/>
      <c r="S135" s="433">
        <f t="shared" si="76"/>
        <v>0</v>
      </c>
      <c r="T135" s="411">
        <f t="shared" si="77"/>
        <v>0</v>
      </c>
      <c r="U135" s="1"/>
      <c r="Y135" s="447">
        <f t="shared" si="75"/>
        <v>0</v>
      </c>
      <c r="Z135" s="491" t="str">
        <f>VLOOKUP(Y135,Treatments!$C$7:$J$407,2)</f>
        <v>No treatment</v>
      </c>
      <c r="AA135" s="495">
        <f t="shared" si="70"/>
        <v>0</v>
      </c>
      <c r="AB135" s="433">
        <f>VLOOKUP(Y135,Treatments!$C$7:$J$407,8)</f>
        <v>0</v>
      </c>
      <c r="AC135" s="495">
        <f t="shared" si="71"/>
        <v>0</v>
      </c>
      <c r="AD135" s="496">
        <f t="shared" si="71"/>
        <v>0</v>
      </c>
      <c r="AE135" s="433">
        <f t="shared" si="72"/>
        <v>0</v>
      </c>
      <c r="AF135" s="411">
        <f t="shared" si="73"/>
        <v>0</v>
      </c>
      <c r="AI135" s="447">
        <f t="shared" si="78"/>
        <v>0</v>
      </c>
      <c r="AJ135" s="491" t="str">
        <f>VLOOKUP(AI135,Treatments!$C$7:$J$407,2)</f>
        <v>No treatment</v>
      </c>
      <c r="AK135" s="495">
        <f t="shared" si="79"/>
        <v>0</v>
      </c>
      <c r="AL135" s="433">
        <f>VLOOKUP(AI135,Treatments!$C$7:$J$407,8)</f>
        <v>0</v>
      </c>
      <c r="AM135" s="495">
        <f t="shared" si="80"/>
        <v>0</v>
      </c>
      <c r="AN135" s="160"/>
      <c r="AO135" s="496">
        <f t="shared" si="81"/>
        <v>0</v>
      </c>
      <c r="AP135" s="433">
        <f t="shared" si="82"/>
        <v>0</v>
      </c>
      <c r="AQ135" s="411">
        <f t="shared" si="83"/>
        <v>0</v>
      </c>
      <c r="AR135" s="1"/>
    </row>
    <row r="136" spans="2:44" ht="15.75" x14ac:dyDescent="0.25">
      <c r="B136" s="305"/>
      <c r="C136" s="491" t="str">
        <f>IF(B136&lt;=0,"",VLOOKUP(B136,Treatments!$C$7:$J$407,2))</f>
        <v/>
      </c>
      <c r="D136" s="306"/>
      <c r="E136" s="433">
        <f>VLOOKUP(B136,Treatments!$C$7:$J$407,8)</f>
        <v>0</v>
      </c>
      <c r="F136" s="305"/>
      <c r="G136" s="308"/>
      <c r="H136" s="433">
        <f t="shared" si="69"/>
        <v>0</v>
      </c>
      <c r="I136" s="411">
        <f t="shared" si="74"/>
        <v>0</v>
      </c>
      <c r="L136" s="435"/>
      <c r="M136" s="491" t="str">
        <f>VLOOKUP(L136,Treatments!$C$7:$J$407,2)</f>
        <v>No treatment</v>
      </c>
      <c r="N136" s="492"/>
      <c r="O136" s="433">
        <f>VLOOKUP(L136,Treatments!$C$7:$J$407,8)</f>
        <v>0</v>
      </c>
      <c r="P136" s="435"/>
      <c r="Q136" s="160"/>
      <c r="R136" s="308"/>
      <c r="S136" s="433">
        <f t="shared" si="76"/>
        <v>0</v>
      </c>
      <c r="T136" s="411">
        <f t="shared" si="77"/>
        <v>0</v>
      </c>
      <c r="U136" s="1"/>
      <c r="Y136" s="447">
        <f t="shared" si="75"/>
        <v>0</v>
      </c>
      <c r="Z136" s="491" t="str">
        <f>VLOOKUP(Y136,Treatments!$C$7:$J$407,2)</f>
        <v>No treatment</v>
      </c>
      <c r="AA136" s="495">
        <f t="shared" si="70"/>
        <v>0</v>
      </c>
      <c r="AB136" s="433">
        <f>VLOOKUP(Y136,Treatments!$C$7:$J$407,8)</f>
        <v>0</v>
      </c>
      <c r="AC136" s="495">
        <f t="shared" si="71"/>
        <v>0</v>
      </c>
      <c r="AD136" s="496">
        <f t="shared" si="71"/>
        <v>0</v>
      </c>
      <c r="AE136" s="433">
        <f t="shared" si="72"/>
        <v>0</v>
      </c>
      <c r="AF136" s="411">
        <f t="shared" si="73"/>
        <v>0</v>
      </c>
      <c r="AI136" s="447">
        <f t="shared" si="78"/>
        <v>0</v>
      </c>
      <c r="AJ136" s="491" t="str">
        <f>VLOOKUP(AI136,Treatments!$C$7:$J$407,2)</f>
        <v>No treatment</v>
      </c>
      <c r="AK136" s="495">
        <f t="shared" si="79"/>
        <v>0</v>
      </c>
      <c r="AL136" s="433">
        <f>VLOOKUP(AI136,Treatments!$C$7:$J$407,8)</f>
        <v>0</v>
      </c>
      <c r="AM136" s="495">
        <f t="shared" si="80"/>
        <v>0</v>
      </c>
      <c r="AN136" s="160"/>
      <c r="AO136" s="496">
        <f t="shared" si="81"/>
        <v>0</v>
      </c>
      <c r="AP136" s="433">
        <f t="shared" si="82"/>
        <v>0</v>
      </c>
      <c r="AQ136" s="411">
        <f t="shared" si="83"/>
        <v>0</v>
      </c>
      <c r="AR136" s="1"/>
    </row>
    <row r="137" spans="2:44" ht="15.75" x14ac:dyDescent="0.25">
      <c r="B137" s="305"/>
      <c r="C137" s="491" t="str">
        <f>IF(B137&lt;=0,"",VLOOKUP(B137,Treatments!$C$7:$J$407,2))</f>
        <v/>
      </c>
      <c r="D137" s="306"/>
      <c r="E137" s="433">
        <f>VLOOKUP(B137,Treatments!$C$7:$J$407,8)</f>
        <v>0</v>
      </c>
      <c r="F137" s="305"/>
      <c r="G137" s="308"/>
      <c r="H137" s="433">
        <f t="shared" si="69"/>
        <v>0</v>
      </c>
      <c r="I137" s="411">
        <f t="shared" si="74"/>
        <v>0</v>
      </c>
      <c r="L137" s="435"/>
      <c r="M137" s="491" t="str">
        <f>VLOOKUP(L137,Treatments!$C$7:$J$407,2)</f>
        <v>No treatment</v>
      </c>
      <c r="N137" s="492"/>
      <c r="O137" s="433">
        <f>VLOOKUP(L137,Treatments!$C$7:$J$407,8)</f>
        <v>0</v>
      </c>
      <c r="P137" s="435"/>
      <c r="Q137" s="498"/>
      <c r="R137" s="493"/>
      <c r="S137" s="433">
        <f t="shared" si="76"/>
        <v>0</v>
      </c>
      <c r="T137" s="411">
        <f t="shared" si="77"/>
        <v>0</v>
      </c>
      <c r="U137" s="1"/>
      <c r="Y137" s="447">
        <f t="shared" si="75"/>
        <v>0</v>
      </c>
      <c r="Z137" s="491" t="str">
        <f>VLOOKUP(Y137,Treatments!$C$7:$J$407,2)</f>
        <v>No treatment</v>
      </c>
      <c r="AA137" s="495">
        <f t="shared" si="70"/>
        <v>0</v>
      </c>
      <c r="AB137" s="433">
        <f>VLOOKUP(Y137,Treatments!$C$7:$J$407,8)</f>
        <v>0</v>
      </c>
      <c r="AC137" s="495">
        <f t="shared" si="71"/>
        <v>0</v>
      </c>
      <c r="AD137" s="496">
        <f t="shared" si="71"/>
        <v>0</v>
      </c>
      <c r="AE137" s="433">
        <f t="shared" si="72"/>
        <v>0</v>
      </c>
      <c r="AF137" s="411">
        <f t="shared" si="73"/>
        <v>0</v>
      </c>
      <c r="AI137" s="447">
        <f t="shared" si="78"/>
        <v>0</v>
      </c>
      <c r="AJ137" s="491" t="str">
        <f>VLOOKUP(AI137,Treatments!$C$7:$J$407,2)</f>
        <v>No treatment</v>
      </c>
      <c r="AK137" s="495">
        <f t="shared" si="79"/>
        <v>0</v>
      </c>
      <c r="AL137" s="433">
        <f>VLOOKUP(AI137,Treatments!$C$7:$J$407,8)</f>
        <v>0</v>
      </c>
      <c r="AM137" s="495">
        <f t="shared" si="80"/>
        <v>0</v>
      </c>
      <c r="AN137" s="498"/>
      <c r="AO137" s="496">
        <f t="shared" si="81"/>
        <v>0</v>
      </c>
      <c r="AP137" s="433">
        <f t="shared" si="82"/>
        <v>0</v>
      </c>
      <c r="AQ137" s="411">
        <f t="shared" si="83"/>
        <v>0</v>
      </c>
      <c r="AR137" s="1"/>
    </row>
    <row r="138" spans="2:44" ht="15.75" x14ac:dyDescent="0.25">
      <c r="B138" s="305"/>
      <c r="C138" s="491" t="str">
        <f>IF(B138&lt;=0,"",VLOOKUP(B138,Treatments!$C$7:$J$407,2))</f>
        <v/>
      </c>
      <c r="D138" s="306"/>
      <c r="E138" s="433">
        <f>VLOOKUP(B138,Treatments!$C$7:$J$407,8)</f>
        <v>0</v>
      </c>
      <c r="F138" s="305"/>
      <c r="G138" s="308"/>
      <c r="H138" s="433">
        <f t="shared" si="69"/>
        <v>0</v>
      </c>
      <c r="I138" s="411">
        <f t="shared" si="74"/>
        <v>0</v>
      </c>
      <c r="L138" s="1"/>
      <c r="M138" s="14"/>
      <c r="N138" s="13" t="s">
        <v>584</v>
      </c>
      <c r="O138" s="6"/>
      <c r="P138" s="1"/>
      <c r="Q138" s="6"/>
      <c r="R138" s="1"/>
      <c r="S138" s="510">
        <f>SUM(S110:S137)</f>
        <v>0</v>
      </c>
      <c r="T138" s="411">
        <f t="shared" si="77"/>
        <v>0</v>
      </c>
      <c r="U138" s="1"/>
      <c r="Y138" s="447">
        <f t="shared" si="75"/>
        <v>0</v>
      </c>
      <c r="Z138" s="491" t="str">
        <f>VLOOKUP(Y138,Treatments!$C$7:$J$407,2)</f>
        <v>No treatment</v>
      </c>
      <c r="AA138" s="495">
        <f t="shared" si="70"/>
        <v>0</v>
      </c>
      <c r="AB138" s="433">
        <f>VLOOKUP(Y138,Treatments!$C$7:$J$407,8)</f>
        <v>0</v>
      </c>
      <c r="AC138" s="495">
        <f t="shared" si="71"/>
        <v>0</v>
      </c>
      <c r="AD138" s="496">
        <f t="shared" si="71"/>
        <v>0</v>
      </c>
      <c r="AE138" s="433">
        <f t="shared" si="72"/>
        <v>0</v>
      </c>
      <c r="AF138" s="411">
        <f t="shared" si="73"/>
        <v>0</v>
      </c>
      <c r="AI138" s="1"/>
      <c r="AJ138" s="14"/>
      <c r="AK138" s="13" t="s">
        <v>584</v>
      </c>
      <c r="AL138" s="6"/>
      <c r="AM138" s="1"/>
      <c r="AN138" s="6"/>
      <c r="AO138" s="1"/>
      <c r="AP138" s="510">
        <f>SUM(AP110:AP137)</f>
        <v>0</v>
      </c>
      <c r="AQ138" s="510">
        <f>SUM(AQ110:AQ137)</f>
        <v>0</v>
      </c>
      <c r="AR138" s="1"/>
    </row>
    <row r="139" spans="2:44" ht="15.75" x14ac:dyDescent="0.25">
      <c r="B139" s="304"/>
      <c r="C139" s="1"/>
      <c r="D139" s="304"/>
      <c r="E139" s="1"/>
      <c r="F139" s="304"/>
      <c r="G139" s="312"/>
      <c r="H139" s="1"/>
      <c r="I139" s="1"/>
      <c r="L139" s="1"/>
      <c r="M139" s="1"/>
      <c r="N139" s="1"/>
      <c r="O139" s="1"/>
      <c r="P139" s="1"/>
      <c r="Q139" s="1"/>
      <c r="R139" s="1"/>
      <c r="S139" s="1"/>
      <c r="T139" s="1"/>
      <c r="U139" s="1"/>
      <c r="Y139" s="1"/>
      <c r="Z139" s="1"/>
      <c r="AA139" s="6"/>
      <c r="AB139" s="6"/>
      <c r="AC139" s="6"/>
      <c r="AD139" s="6"/>
      <c r="AE139" s="6"/>
      <c r="AF139" s="6"/>
      <c r="AI139" s="1"/>
      <c r="AJ139" s="1"/>
      <c r="AK139" s="1"/>
      <c r="AL139" s="1"/>
      <c r="AM139" s="1"/>
      <c r="AN139" s="1"/>
      <c r="AO139" s="1"/>
      <c r="AP139" s="1"/>
      <c r="AQ139" s="1"/>
      <c r="AR139" s="1"/>
    </row>
    <row r="140" spans="2:44" ht="15.75" x14ac:dyDescent="0.25">
      <c r="B140" s="379" t="s">
        <v>994</v>
      </c>
      <c r="C140" s="502" t="s">
        <v>581</v>
      </c>
      <c r="D140" s="381" t="s">
        <v>616</v>
      </c>
      <c r="E140" s="501" t="s">
        <v>619</v>
      </c>
      <c r="F140" s="382" t="s">
        <v>617</v>
      </c>
      <c r="G140" s="382" t="s">
        <v>618</v>
      </c>
      <c r="H140" s="505"/>
      <c r="I140" s="506"/>
      <c r="L140" s="1"/>
      <c r="M140" s="1"/>
      <c r="N140" s="1"/>
      <c r="O140" s="1"/>
      <c r="P140" s="1"/>
      <c r="Q140" s="1"/>
      <c r="R140" s="1"/>
      <c r="S140" s="511"/>
      <c r="T140" s="512"/>
      <c r="U140" s="1"/>
      <c r="Y140" s="6" t="s">
        <v>994</v>
      </c>
      <c r="Z140" s="5" t="s">
        <v>581</v>
      </c>
      <c r="AA140" s="6" t="s">
        <v>616</v>
      </c>
      <c r="AB140" s="6" t="s">
        <v>619</v>
      </c>
      <c r="AC140" s="6" t="s">
        <v>617</v>
      </c>
      <c r="AD140" s="6" t="s">
        <v>618</v>
      </c>
      <c r="AE140" s="507"/>
      <c r="AF140" s="508"/>
      <c r="AI140" s="1"/>
      <c r="AJ140" s="1"/>
      <c r="AK140" s="1"/>
      <c r="AL140" s="1"/>
      <c r="AM140" s="1"/>
      <c r="AN140" s="1"/>
      <c r="AO140" s="1"/>
      <c r="AP140" s="511"/>
      <c r="AQ140" s="512"/>
      <c r="AR140" s="1"/>
    </row>
    <row r="141" spans="2:44" ht="15.75" x14ac:dyDescent="0.25">
      <c r="B141" s="305"/>
      <c r="C141" s="491" t="str">
        <f>IF(B141&lt;=0,"",VLOOKUP(B141,Treatments!$C$7:$J$407,2))</f>
        <v/>
      </c>
      <c r="D141" s="306"/>
      <c r="E141" s="433">
        <f>VLOOKUP(B141,Treatments!$C$7:$J$407,8)</f>
        <v>0</v>
      </c>
      <c r="F141" s="305"/>
      <c r="G141" s="308"/>
      <c r="H141" s="433">
        <f t="shared" ref="H141:H147" si="84">D141*E141*F141*G141</f>
        <v>0</v>
      </c>
      <c r="I141" s="411">
        <f>H141*$D$9</f>
        <v>0</v>
      </c>
      <c r="L141" s="1"/>
      <c r="N141" s="1"/>
      <c r="O141" s="1"/>
      <c r="P141" s="1"/>
      <c r="Q141" s="1"/>
      <c r="R141" s="12" t="s">
        <v>794</v>
      </c>
      <c r="S141" s="513"/>
      <c r="T141" s="510">
        <f>S141*$D$9</f>
        <v>0</v>
      </c>
      <c r="U141" s="1"/>
      <c r="Y141" s="447">
        <f t="shared" ref="Y141:Y146" si="85">IF(AND(B141&gt;=344,B141&lt;=358),B141+15,B141)</f>
        <v>0</v>
      </c>
      <c r="Z141" s="491" t="str">
        <f>VLOOKUP(Y141,Treatments!$C$7:$J$407,2)</f>
        <v>No treatment</v>
      </c>
      <c r="AA141" s="495">
        <f>D141</f>
        <v>0</v>
      </c>
      <c r="AB141" s="433">
        <f>VLOOKUP(Y141,Treatments!$C$7:$J$407,8)</f>
        <v>0</v>
      </c>
      <c r="AC141" s="495">
        <f>F141</f>
        <v>0</v>
      </c>
      <c r="AD141" s="496">
        <f t="shared" ref="AD141:AD147" si="86">G141</f>
        <v>0</v>
      </c>
      <c r="AE141" s="433">
        <f t="shared" ref="AE141:AE147" si="87">AA141*AB141*AC141*AD141</f>
        <v>0</v>
      </c>
      <c r="AF141" s="411">
        <f t="shared" ref="AF141:AF147" si="88">AE141*$D$9</f>
        <v>0</v>
      </c>
      <c r="AI141" s="1"/>
      <c r="AK141" s="1"/>
      <c r="AL141" s="1"/>
      <c r="AM141" s="1"/>
      <c r="AN141" s="1"/>
      <c r="AO141" s="12" t="s">
        <v>794</v>
      </c>
      <c r="AP141" s="510">
        <f>S141</f>
        <v>0</v>
      </c>
      <c r="AQ141" s="510">
        <f>AP141*$D$9</f>
        <v>0</v>
      </c>
      <c r="AR141" s="1"/>
    </row>
    <row r="142" spans="2:44" ht="15.75" x14ac:dyDescent="0.25">
      <c r="B142" s="305"/>
      <c r="C142" s="491" t="str">
        <f>IF(B142&lt;=0,"",VLOOKUP(B142,Treatments!$C$7:$J$407,2))</f>
        <v/>
      </c>
      <c r="D142" s="306"/>
      <c r="E142" s="433">
        <f>VLOOKUP(B142,Treatments!$C$7:$J$407,8)</f>
        <v>0</v>
      </c>
      <c r="F142" s="305"/>
      <c r="G142" s="308"/>
      <c r="H142" s="433">
        <f t="shared" si="84"/>
        <v>0</v>
      </c>
      <c r="I142" s="411">
        <f t="shared" ref="I142:I147" si="89">H142*$D$9</f>
        <v>0</v>
      </c>
      <c r="L142" s="1"/>
      <c r="M142" s="1"/>
      <c r="N142" s="1"/>
      <c r="O142" s="1"/>
      <c r="P142" s="1"/>
      <c r="Q142" s="12" t="s">
        <v>585</v>
      </c>
      <c r="R142" s="514">
        <v>0.05</v>
      </c>
      <c r="S142" s="510">
        <f>S141+S140+S138</f>
        <v>0</v>
      </c>
      <c r="T142" s="510">
        <f>T141+T140+T138</f>
        <v>0</v>
      </c>
      <c r="U142" s="1"/>
      <c r="Y142" s="447">
        <f t="shared" si="85"/>
        <v>0</v>
      </c>
      <c r="Z142" s="491" t="str">
        <f>VLOOKUP(Y142,Treatments!$C$7:$J$407,2)</f>
        <v>No treatment</v>
      </c>
      <c r="AA142" s="495">
        <f t="shared" ref="AA142:AA147" si="90">D142</f>
        <v>0</v>
      </c>
      <c r="AB142" s="433">
        <f>VLOOKUP(Y142,Treatments!$C$7:$J$407,8)</f>
        <v>0</v>
      </c>
      <c r="AC142" s="495">
        <f t="shared" ref="AC142:AC147" si="91">F142</f>
        <v>0</v>
      </c>
      <c r="AD142" s="496">
        <f t="shared" si="86"/>
        <v>0</v>
      </c>
      <c r="AE142" s="433">
        <f t="shared" si="87"/>
        <v>0</v>
      </c>
      <c r="AF142" s="411">
        <f t="shared" si="88"/>
        <v>0</v>
      </c>
      <c r="AI142" s="1"/>
      <c r="AJ142" s="1"/>
      <c r="AK142" s="1"/>
      <c r="AL142" s="1"/>
      <c r="AM142" s="1"/>
      <c r="AN142" s="12" t="s">
        <v>585</v>
      </c>
      <c r="AO142" s="496">
        <f>R142</f>
        <v>0.05</v>
      </c>
      <c r="AP142" s="510">
        <f>AP141+AP140+AP138</f>
        <v>0</v>
      </c>
      <c r="AQ142" s="510">
        <f>AQ141+AQ140+AQ138</f>
        <v>0</v>
      </c>
      <c r="AR142" s="1"/>
    </row>
    <row r="143" spans="2:44" ht="15.75" x14ac:dyDescent="0.25">
      <c r="B143" s="305"/>
      <c r="C143" s="491" t="str">
        <f>IF(B143&lt;=0,"",VLOOKUP(B143,Treatments!$C$7:$J$407,2))</f>
        <v/>
      </c>
      <c r="D143" s="306"/>
      <c r="E143" s="433">
        <f>VLOOKUP(B143,Treatments!$C$7:$J$407,8)</f>
        <v>0</v>
      </c>
      <c r="F143" s="305"/>
      <c r="G143" s="308"/>
      <c r="H143" s="433">
        <f t="shared" si="84"/>
        <v>0</v>
      </c>
      <c r="I143" s="411">
        <f t="shared" si="89"/>
        <v>0</v>
      </c>
      <c r="L143" s="1"/>
      <c r="N143" s="1"/>
      <c r="O143" s="17" t="s">
        <v>586</v>
      </c>
      <c r="P143" s="12" t="s">
        <v>587</v>
      </c>
      <c r="Q143" s="420">
        <v>30</v>
      </c>
      <c r="R143" s="1" t="s">
        <v>588</v>
      </c>
      <c r="S143" s="511">
        <f>PMT(R142,Q143,S142)*-1</f>
        <v>0</v>
      </c>
      <c r="T143" s="1" t="s">
        <v>589</v>
      </c>
      <c r="U143" s="1"/>
      <c r="Y143" s="447">
        <f t="shared" si="85"/>
        <v>0</v>
      </c>
      <c r="Z143" s="491" t="str">
        <f>VLOOKUP(Y143,Treatments!$C$7:$J$407,2)</f>
        <v>No treatment</v>
      </c>
      <c r="AA143" s="495">
        <f t="shared" si="90"/>
        <v>0</v>
      </c>
      <c r="AB143" s="433">
        <f>VLOOKUP(Y143,Treatments!$C$7:$J$407,8)</f>
        <v>0</v>
      </c>
      <c r="AC143" s="495">
        <f t="shared" si="91"/>
        <v>0</v>
      </c>
      <c r="AD143" s="496">
        <f t="shared" si="86"/>
        <v>0</v>
      </c>
      <c r="AE143" s="433">
        <f t="shared" si="87"/>
        <v>0</v>
      </c>
      <c r="AF143" s="411">
        <f t="shared" si="88"/>
        <v>0</v>
      </c>
      <c r="AI143" s="1"/>
      <c r="AK143" s="1"/>
      <c r="AL143" s="17" t="s">
        <v>586</v>
      </c>
      <c r="AM143" s="12" t="s">
        <v>587</v>
      </c>
      <c r="AN143" s="447">
        <f>Q143</f>
        <v>30</v>
      </c>
      <c r="AO143" s="1" t="s">
        <v>588</v>
      </c>
      <c r="AP143" s="511">
        <f>PMT(AO142,AN143,AP142)*-1</f>
        <v>0</v>
      </c>
      <c r="AQ143" s="1" t="s">
        <v>589</v>
      </c>
      <c r="AR143" s="1"/>
    </row>
    <row r="144" spans="2:44" ht="15.75" x14ac:dyDescent="0.25">
      <c r="B144" s="305"/>
      <c r="C144" s="491" t="str">
        <f>IF(B144&lt;=0,"",VLOOKUP(B144,Treatments!$C$7:$J$407,2))</f>
        <v/>
      </c>
      <c r="D144" s="306"/>
      <c r="E144" s="433">
        <f>VLOOKUP(B144,Treatments!$C$7:$J$407,8)</f>
        <v>0</v>
      </c>
      <c r="F144" s="305"/>
      <c r="G144" s="308"/>
      <c r="H144" s="433">
        <f t="shared" si="84"/>
        <v>0</v>
      </c>
      <c r="I144" s="411">
        <f t="shared" si="89"/>
        <v>0</v>
      </c>
      <c r="L144" s="1"/>
      <c r="N144" s="1"/>
      <c r="T144" s="1"/>
      <c r="U144" s="1"/>
      <c r="Y144" s="447">
        <f t="shared" si="85"/>
        <v>0</v>
      </c>
      <c r="Z144" s="491" t="str">
        <f>VLOOKUP(Y144,Treatments!$C$7:$J$407,2)</f>
        <v>No treatment</v>
      </c>
      <c r="AA144" s="495">
        <f t="shared" si="90"/>
        <v>0</v>
      </c>
      <c r="AB144" s="433">
        <f>VLOOKUP(Y144,Treatments!$C$7:$J$407,8)</f>
        <v>0</v>
      </c>
      <c r="AC144" s="495">
        <f t="shared" si="91"/>
        <v>0</v>
      </c>
      <c r="AD144" s="496">
        <f t="shared" si="86"/>
        <v>0</v>
      </c>
      <c r="AE144" s="433">
        <f t="shared" si="87"/>
        <v>0</v>
      </c>
      <c r="AF144" s="411">
        <f t="shared" si="88"/>
        <v>0</v>
      </c>
      <c r="AI144" s="1"/>
      <c r="AJ144" s="1"/>
      <c r="AK144" s="1"/>
      <c r="AL144" s="1"/>
      <c r="AM144" s="1"/>
      <c r="AN144" s="1"/>
      <c r="AO144" s="1"/>
      <c r="AP144" s="1"/>
      <c r="AQ144" s="1"/>
      <c r="AR144" s="1"/>
    </row>
    <row r="145" spans="2:44" ht="15.75" x14ac:dyDescent="0.25">
      <c r="B145" s="305"/>
      <c r="C145" s="491" t="str">
        <f>IF(B145&lt;=0,"",VLOOKUP(B145,Treatments!$C$7:$J$407,2))</f>
        <v/>
      </c>
      <c r="D145" s="306"/>
      <c r="E145" s="433">
        <f>VLOOKUP(B145,Treatments!$C$7:$J$407,8)</f>
        <v>0</v>
      </c>
      <c r="F145" s="305"/>
      <c r="G145" s="308"/>
      <c r="H145" s="433">
        <f t="shared" si="84"/>
        <v>0</v>
      </c>
      <c r="I145" s="411">
        <f t="shared" si="89"/>
        <v>0</v>
      </c>
      <c r="L145" s="1"/>
      <c r="M145" s="1"/>
      <c r="N145" s="1"/>
      <c r="O145" s="1"/>
      <c r="P145" s="1"/>
      <c r="Q145" s="1"/>
      <c r="R145" s="1"/>
      <c r="S145" s="1"/>
      <c r="T145" s="1"/>
      <c r="U145" s="1"/>
      <c r="Y145" s="447">
        <f t="shared" si="85"/>
        <v>0</v>
      </c>
      <c r="Z145" s="491" t="str">
        <f>VLOOKUP(Y145,Treatments!$C$7:$J$407,2)</f>
        <v>No treatment</v>
      </c>
      <c r="AA145" s="495">
        <f t="shared" si="90"/>
        <v>0</v>
      </c>
      <c r="AB145" s="433">
        <f>VLOOKUP(Y145,Treatments!$C$7:$J$407,8)</f>
        <v>0</v>
      </c>
      <c r="AC145" s="495">
        <f t="shared" si="91"/>
        <v>0</v>
      </c>
      <c r="AD145" s="496">
        <f t="shared" si="86"/>
        <v>0</v>
      </c>
      <c r="AE145" s="433">
        <f t="shared" si="87"/>
        <v>0</v>
      </c>
      <c r="AF145" s="411">
        <f t="shared" si="88"/>
        <v>0</v>
      </c>
      <c r="AI145" s="1"/>
      <c r="AJ145" s="1"/>
      <c r="AK145" s="1"/>
      <c r="AL145" s="1"/>
      <c r="AM145" s="1"/>
      <c r="AN145" s="1"/>
      <c r="AO145" s="1"/>
      <c r="AP145" s="1"/>
      <c r="AQ145" s="1"/>
      <c r="AR145" s="1"/>
    </row>
    <row r="146" spans="2:44" ht="15.75" x14ac:dyDescent="0.25">
      <c r="B146" s="305"/>
      <c r="C146" s="491" t="str">
        <f>IF(B146&lt;=0,"",VLOOKUP(B146,Treatments!$C$7:$J$407,2))</f>
        <v/>
      </c>
      <c r="D146" s="306"/>
      <c r="E146" s="433">
        <f>VLOOKUP(B146,Treatments!$C$7:$J$407,8)</f>
        <v>0</v>
      </c>
      <c r="F146" s="305"/>
      <c r="G146" s="308"/>
      <c r="H146" s="433">
        <f t="shared" si="84"/>
        <v>0</v>
      </c>
      <c r="I146" s="411">
        <f t="shared" si="89"/>
        <v>0</v>
      </c>
      <c r="L146" s="1"/>
      <c r="M146" s="1"/>
      <c r="N146" s="1"/>
      <c r="O146" s="1"/>
      <c r="P146" s="1"/>
      <c r="Q146" s="1"/>
      <c r="R146" s="1"/>
      <c r="S146" s="1"/>
      <c r="T146" s="1"/>
      <c r="U146" s="1"/>
      <c r="Y146" s="447">
        <f t="shared" si="85"/>
        <v>0</v>
      </c>
      <c r="Z146" s="491" t="str">
        <f>VLOOKUP(Y146,Treatments!$C$7:$J$407,2)</f>
        <v>No treatment</v>
      </c>
      <c r="AA146" s="495">
        <f t="shared" si="90"/>
        <v>0</v>
      </c>
      <c r="AB146" s="433">
        <f>VLOOKUP(Y146,Treatments!$C$7:$J$407,8)</f>
        <v>0</v>
      </c>
      <c r="AC146" s="495">
        <f t="shared" si="91"/>
        <v>0</v>
      </c>
      <c r="AD146" s="496">
        <f t="shared" si="86"/>
        <v>0</v>
      </c>
      <c r="AE146" s="433">
        <f t="shared" si="87"/>
        <v>0</v>
      </c>
      <c r="AF146" s="411">
        <f t="shared" si="88"/>
        <v>0</v>
      </c>
      <c r="AI146" s="1"/>
      <c r="AJ146" s="1"/>
      <c r="AK146" s="1"/>
      <c r="AL146" s="1"/>
      <c r="AM146" s="1"/>
      <c r="AN146" s="1"/>
      <c r="AO146" s="1"/>
      <c r="AP146" s="1"/>
      <c r="AQ146" s="1"/>
      <c r="AR146" s="1"/>
    </row>
    <row r="147" spans="2:44" ht="15.75" x14ac:dyDescent="0.25">
      <c r="B147" s="1"/>
      <c r="C147" s="1" t="s">
        <v>586</v>
      </c>
      <c r="D147" s="492"/>
      <c r="E147" s="433">
        <f>S143</f>
        <v>0</v>
      </c>
      <c r="F147" s="305"/>
      <c r="G147" s="308"/>
      <c r="H147" s="433">
        <f t="shared" si="84"/>
        <v>0</v>
      </c>
      <c r="I147" s="411">
        <f t="shared" si="89"/>
        <v>0</v>
      </c>
      <c r="L147" s="1"/>
      <c r="M147" s="1"/>
      <c r="N147" s="1"/>
      <c r="O147" s="1"/>
      <c r="P147" s="1"/>
      <c r="Q147" s="1"/>
      <c r="R147" s="1"/>
      <c r="S147" s="1"/>
      <c r="T147" s="1"/>
      <c r="U147" s="1"/>
      <c r="Y147" s="1"/>
      <c r="Z147" s="1" t="s">
        <v>586</v>
      </c>
      <c r="AA147" s="495">
        <f t="shared" si="90"/>
        <v>0</v>
      </c>
      <c r="AB147" s="433">
        <f>AP143</f>
        <v>0</v>
      </c>
      <c r="AC147" s="495">
        <f t="shared" si="91"/>
        <v>0</v>
      </c>
      <c r="AD147" s="496">
        <f t="shared" si="86"/>
        <v>0</v>
      </c>
      <c r="AE147" s="433">
        <f t="shared" si="87"/>
        <v>0</v>
      </c>
      <c r="AF147" s="411">
        <f t="shared" si="88"/>
        <v>0</v>
      </c>
      <c r="AI147" s="1"/>
      <c r="AJ147" s="1"/>
      <c r="AK147" s="1"/>
      <c r="AL147" s="1"/>
      <c r="AM147" s="1"/>
      <c r="AN147" s="1"/>
      <c r="AO147" s="1"/>
      <c r="AP147" s="1"/>
      <c r="AQ147" s="1"/>
      <c r="AR147" s="1"/>
    </row>
    <row r="148" spans="2:44" ht="15.75" x14ac:dyDescent="0.25">
      <c r="B148" s="515"/>
      <c r="C148" s="515"/>
      <c r="D148" s="515"/>
      <c r="E148" s="516"/>
      <c r="F148" s="517" t="s">
        <v>796</v>
      </c>
      <c r="G148" s="515"/>
      <c r="H148" s="510">
        <f>SUM(H110:H147)</f>
        <v>0</v>
      </c>
      <c r="I148" s="510">
        <f>SUM(I110:I147)</f>
        <v>0</v>
      </c>
      <c r="L148" s="1" t="s">
        <v>791</v>
      </c>
      <c r="M148" s="1"/>
      <c r="N148" s="1"/>
      <c r="O148" s="1"/>
      <c r="P148" s="1"/>
      <c r="Q148" s="1"/>
      <c r="R148" s="1"/>
      <c r="S148" s="1"/>
      <c r="T148" s="1"/>
      <c r="U148" s="1"/>
      <c r="Y148" s="515"/>
      <c r="Z148" s="515"/>
      <c r="AA148" s="518"/>
      <c r="AB148" s="516"/>
      <c r="AC148" s="518" t="s">
        <v>796</v>
      </c>
      <c r="AD148" s="518"/>
      <c r="AE148" s="510">
        <f>SUM(AE110:AE147)</f>
        <v>0</v>
      </c>
      <c r="AF148" s="510">
        <f>SUM(AF110:AF147)</f>
        <v>0</v>
      </c>
      <c r="AI148" s="1"/>
      <c r="AJ148" s="1"/>
      <c r="AK148" s="1"/>
      <c r="AL148" s="1"/>
      <c r="AM148" s="1"/>
      <c r="AN148" s="1"/>
      <c r="AO148" s="1"/>
      <c r="AP148" s="1"/>
      <c r="AQ148" s="1"/>
      <c r="AR148" s="1"/>
    </row>
    <row r="149" spans="2:44" x14ac:dyDescent="0.2">
      <c r="B149" s="515"/>
      <c r="D149" s="515"/>
      <c r="E149" s="516"/>
      <c r="F149" s="515"/>
      <c r="G149" s="515"/>
      <c r="H149" s="515"/>
      <c r="L149" s="1" t="s">
        <v>790</v>
      </c>
      <c r="M149" s="1"/>
      <c r="N149" s="1"/>
      <c r="O149" s="1"/>
      <c r="P149" s="1"/>
      <c r="Q149" s="1"/>
      <c r="R149" s="1"/>
      <c r="S149" s="1"/>
      <c r="T149" s="1"/>
      <c r="U149" s="1"/>
    </row>
    <row r="150" spans="2:44" x14ac:dyDescent="0.2">
      <c r="D150" s="515"/>
      <c r="E150" s="516"/>
      <c r="F150" s="515"/>
      <c r="G150" s="515"/>
      <c r="H150" s="515"/>
      <c r="L150" s="1"/>
      <c r="M150" s="1"/>
      <c r="N150" s="1"/>
      <c r="O150" s="1"/>
      <c r="P150" s="1"/>
      <c r="Q150" s="1"/>
      <c r="R150" s="1"/>
      <c r="S150" s="1"/>
      <c r="T150" s="1"/>
      <c r="U150" s="1"/>
    </row>
    <row r="151" spans="2:44" x14ac:dyDescent="0.2">
      <c r="B151"/>
      <c r="C151"/>
      <c r="D151"/>
      <c r="E151" s="516"/>
      <c r="F151" s="515"/>
      <c r="G151" s="515"/>
      <c r="H151" s="515"/>
      <c r="L151" s="1" t="s">
        <v>394</v>
      </c>
      <c r="M151" s="1"/>
      <c r="N151" s="1"/>
      <c r="O151" s="1"/>
      <c r="P151" s="1"/>
      <c r="Q151" s="1"/>
      <c r="R151" s="1"/>
      <c r="S151" s="1"/>
      <c r="T151" s="1"/>
      <c r="U151" s="1"/>
    </row>
    <row r="152" spans="2:44" x14ac:dyDescent="0.2">
      <c r="H152" s="515"/>
      <c r="L152" s="1"/>
      <c r="M152" s="1"/>
      <c r="N152" s="1"/>
      <c r="O152" s="1"/>
      <c r="P152" s="1"/>
      <c r="Q152" s="1"/>
      <c r="R152" s="1"/>
      <c r="S152" s="1"/>
      <c r="T152" s="1"/>
      <c r="U152" s="1"/>
    </row>
    <row r="153" spans="2:44" ht="15.75" x14ac:dyDescent="0.25">
      <c r="B153" s="551" t="s">
        <v>897</v>
      </c>
      <c r="C153" s="552"/>
      <c r="G153" s="551" t="s">
        <v>897</v>
      </c>
      <c r="H153" s="552"/>
      <c r="L153" s="1" t="s">
        <v>793</v>
      </c>
      <c r="M153" s="1"/>
      <c r="N153" s="1"/>
      <c r="O153" s="1"/>
      <c r="P153" s="1"/>
      <c r="Q153" s="1"/>
      <c r="R153" s="1"/>
      <c r="S153" s="1"/>
      <c r="T153" s="1"/>
      <c r="U153" s="1"/>
    </row>
    <row r="154" spans="2:44" ht="15.75" x14ac:dyDescent="0.25">
      <c r="B154" s="553" t="s">
        <v>400</v>
      </c>
      <c r="C154" s="555"/>
      <c r="D154" s="554" t="s">
        <v>993</v>
      </c>
      <c r="E154" s="554" t="s">
        <v>904</v>
      </c>
      <c r="G154" s="553" t="s">
        <v>393</v>
      </c>
      <c r="H154" s="555"/>
      <c r="I154" s="554" t="s">
        <v>993</v>
      </c>
      <c r="J154" s="554" t="s">
        <v>904</v>
      </c>
      <c r="L154" s="1" t="s">
        <v>798</v>
      </c>
      <c r="M154" s="1"/>
      <c r="N154" s="1"/>
      <c r="O154" s="1"/>
      <c r="P154" s="1"/>
      <c r="Q154" s="1"/>
      <c r="R154" s="1"/>
      <c r="S154" s="1"/>
      <c r="T154" s="1"/>
    </row>
    <row r="155" spans="2:44" ht="15.75" x14ac:dyDescent="0.25">
      <c r="B155" s="454" t="s">
        <v>898</v>
      </c>
      <c r="C155" s="519"/>
      <c r="D155" s="455">
        <f>L60</f>
        <v>0</v>
      </c>
      <c r="E155" s="455">
        <f>D155/$D$8</f>
        <v>0</v>
      </c>
      <c r="F155" s="515"/>
      <c r="G155" s="456" t="s">
        <v>898</v>
      </c>
      <c r="H155" s="456"/>
      <c r="I155" s="457">
        <f t="shared" ref="I155:J160" si="92">D155</f>
        <v>0</v>
      </c>
      <c r="J155" s="457">
        <f t="shared" si="92"/>
        <v>0</v>
      </c>
      <c r="L155" s="1" t="s">
        <v>799</v>
      </c>
      <c r="M155" s="1"/>
      <c r="N155" s="1"/>
      <c r="O155" s="1"/>
      <c r="P155" s="1"/>
      <c r="Q155" s="1"/>
      <c r="R155" s="1"/>
      <c r="S155" s="1"/>
      <c r="T155" s="1"/>
    </row>
    <row r="156" spans="2:44" ht="15.75" x14ac:dyDescent="0.25">
      <c r="B156" s="458" t="s">
        <v>797</v>
      </c>
      <c r="C156" s="459"/>
      <c r="D156" s="460">
        <f>H22</f>
        <v>0</v>
      </c>
      <c r="E156" s="460">
        <f t="shared" ref="E156:E162" si="93">D156/$D$8</f>
        <v>0</v>
      </c>
      <c r="F156" s="515"/>
      <c r="G156" s="458" t="s">
        <v>797</v>
      </c>
      <c r="H156" s="458"/>
      <c r="I156" s="460">
        <f t="shared" si="92"/>
        <v>0</v>
      </c>
      <c r="J156" s="461">
        <f t="shared" si="92"/>
        <v>0</v>
      </c>
      <c r="L156" s="520"/>
    </row>
    <row r="157" spans="2:44" ht="15.75" x14ac:dyDescent="0.25">
      <c r="B157" s="462" t="s">
        <v>399</v>
      </c>
      <c r="C157" s="463"/>
      <c r="D157" s="464">
        <f>H35+J35+L35</f>
        <v>0</v>
      </c>
      <c r="E157" s="464">
        <f t="shared" si="93"/>
        <v>0</v>
      </c>
      <c r="F157" s="515"/>
      <c r="G157" s="462" t="s">
        <v>899</v>
      </c>
      <c r="H157" s="462"/>
      <c r="I157" s="465">
        <f t="shared" si="92"/>
        <v>0</v>
      </c>
      <c r="J157" s="466">
        <f t="shared" si="92"/>
        <v>0</v>
      </c>
      <c r="M157" s="520"/>
    </row>
    <row r="158" spans="2:44" ht="15.75" x14ac:dyDescent="0.25">
      <c r="B158" s="467" t="s">
        <v>880</v>
      </c>
      <c r="C158" s="463"/>
      <c r="D158" s="464">
        <f>L75</f>
        <v>0</v>
      </c>
      <c r="E158" s="464">
        <f t="shared" si="93"/>
        <v>0</v>
      </c>
      <c r="F158" s="515"/>
      <c r="G158" s="467" t="s">
        <v>880</v>
      </c>
      <c r="H158" s="467"/>
      <c r="I158" s="465">
        <f t="shared" si="92"/>
        <v>0</v>
      </c>
      <c r="J158" s="466">
        <f t="shared" si="92"/>
        <v>0</v>
      </c>
    </row>
    <row r="159" spans="2:44" ht="15.75" x14ac:dyDescent="0.25">
      <c r="B159" s="467" t="s">
        <v>881</v>
      </c>
      <c r="C159" s="463"/>
      <c r="D159" s="464">
        <f>M47</f>
        <v>0</v>
      </c>
      <c r="E159" s="464">
        <f t="shared" si="93"/>
        <v>0</v>
      </c>
      <c r="G159" s="467" t="s">
        <v>881</v>
      </c>
      <c r="H159" s="467"/>
      <c r="I159" s="465">
        <f t="shared" si="92"/>
        <v>0</v>
      </c>
      <c r="J159" s="466">
        <f t="shared" si="92"/>
        <v>0</v>
      </c>
    </row>
    <row r="160" spans="2:44" ht="15.75" x14ac:dyDescent="0.25">
      <c r="B160" s="467" t="s">
        <v>872</v>
      </c>
      <c r="C160" s="463"/>
      <c r="D160" s="464">
        <f>D75+H75</f>
        <v>0</v>
      </c>
      <c r="E160" s="464">
        <f t="shared" si="93"/>
        <v>0</v>
      </c>
      <c r="F160" s="515"/>
      <c r="G160" s="467" t="s">
        <v>872</v>
      </c>
      <c r="H160" s="467"/>
      <c r="I160" s="465">
        <f t="shared" si="92"/>
        <v>0</v>
      </c>
      <c r="J160" s="466">
        <f t="shared" si="92"/>
        <v>0</v>
      </c>
    </row>
    <row r="161" spans="2:13" ht="15.75" x14ac:dyDescent="0.25">
      <c r="B161" s="468" t="s">
        <v>755</v>
      </c>
      <c r="C161" s="469"/>
      <c r="D161" s="470">
        <f>I148</f>
        <v>0</v>
      </c>
      <c r="E161" s="470">
        <f t="shared" si="93"/>
        <v>0</v>
      </c>
      <c r="F161" s="515"/>
      <c r="G161" s="468" t="s">
        <v>754</v>
      </c>
      <c r="H161" s="468"/>
      <c r="I161" s="465">
        <f>AF148</f>
        <v>0</v>
      </c>
      <c r="J161" s="466">
        <f>I161/$D$8</f>
        <v>0</v>
      </c>
    </row>
    <row r="162" spans="2:13" ht="15.75" x14ac:dyDescent="0.25">
      <c r="B162" s="471" t="s">
        <v>900</v>
      </c>
      <c r="C162" s="521"/>
      <c r="D162" s="472">
        <f>SUM(D156:D161)</f>
        <v>0</v>
      </c>
      <c r="E162" s="472">
        <f t="shared" si="93"/>
        <v>0</v>
      </c>
      <c r="F162" s="515"/>
      <c r="G162" s="471" t="s">
        <v>900</v>
      </c>
      <c r="H162" s="471"/>
      <c r="I162" s="472">
        <f>SUM(I156:I161)</f>
        <v>0</v>
      </c>
      <c r="J162" s="472">
        <f>I162/D8</f>
        <v>0</v>
      </c>
    </row>
    <row r="163" spans="2:13" x14ac:dyDescent="0.2">
      <c r="B163" s="427"/>
      <c r="C163" s="427"/>
      <c r="D163" s="427"/>
      <c r="E163" s="427"/>
      <c r="G163" s="427"/>
      <c r="H163" s="427"/>
      <c r="I163" s="427"/>
      <c r="J163" s="427"/>
    </row>
    <row r="164" spans="2:13" ht="15.75" x14ac:dyDescent="0.25">
      <c r="B164" s="473" t="s">
        <v>901</v>
      </c>
      <c r="C164" s="522"/>
      <c r="D164" s="474">
        <f>D155-D162</f>
        <v>0</v>
      </c>
      <c r="E164" s="474">
        <f>D164/D8</f>
        <v>0</v>
      </c>
      <c r="G164" s="473" t="s">
        <v>901</v>
      </c>
      <c r="H164" s="473"/>
      <c r="I164" s="474">
        <f>I155-I162</f>
        <v>0</v>
      </c>
      <c r="J164" s="474">
        <f>I164/$D$8</f>
        <v>0</v>
      </c>
      <c r="K164" s="523"/>
    </row>
    <row r="165" spans="2:13" ht="15.75" x14ac:dyDescent="0.25">
      <c r="B165" s="473" t="s">
        <v>737</v>
      </c>
      <c r="C165" s="475"/>
      <c r="D165" s="474">
        <f>H88</f>
        <v>0</v>
      </c>
      <c r="E165" s="474">
        <f>D165/D8</f>
        <v>0</v>
      </c>
      <c r="F165" s="515"/>
      <c r="G165" s="473" t="s">
        <v>737</v>
      </c>
      <c r="H165" s="475"/>
      <c r="I165" s="474">
        <f>H88</f>
        <v>0</v>
      </c>
      <c r="J165" s="515"/>
    </row>
    <row r="166" spans="2:13" ht="15.75" x14ac:dyDescent="0.25">
      <c r="B166" s="473" t="s">
        <v>675</v>
      </c>
      <c r="C166" s="522"/>
      <c r="D166" s="474">
        <f>D164-D165</f>
        <v>0</v>
      </c>
      <c r="E166" s="474">
        <f>D166/$D$8</f>
        <v>0</v>
      </c>
      <c r="F166" s="515"/>
      <c r="G166" s="473" t="s">
        <v>902</v>
      </c>
      <c r="H166" s="473"/>
      <c r="I166" s="474">
        <f>I164-I165</f>
        <v>0</v>
      </c>
      <c r="J166" s="474">
        <f>I166/$D$8</f>
        <v>0</v>
      </c>
    </row>
    <row r="167" spans="2:13" ht="15.75" x14ac:dyDescent="0.25">
      <c r="B167" s="473" t="s">
        <v>739</v>
      </c>
      <c r="C167" s="522"/>
      <c r="D167" s="522"/>
      <c r="E167" s="476">
        <f>(E60-F22)/$D$8</f>
        <v>0</v>
      </c>
      <c r="F167" s="515"/>
      <c r="J167" s="515"/>
    </row>
    <row r="168" spans="2:13" x14ac:dyDescent="0.2">
      <c r="F168" s="515"/>
      <c r="J168" s="524"/>
    </row>
    <row r="169" spans="2:13" x14ac:dyDescent="0.2">
      <c r="F169" s="515"/>
      <c r="I169" s="515"/>
      <c r="J169" s="515"/>
    </row>
    <row r="170" spans="2:13" x14ac:dyDescent="0.2">
      <c r="B170" s="1"/>
      <c r="C170" s="1"/>
      <c r="D170" s="1"/>
      <c r="E170" s="524"/>
      <c r="F170" s="515"/>
      <c r="G170" s="1"/>
      <c r="H170" s="1"/>
      <c r="I170" s="1"/>
      <c r="J170" s="524"/>
    </row>
    <row r="171" spans="2:13" x14ac:dyDescent="0.2">
      <c r="G171" s="1"/>
      <c r="H171" s="1"/>
      <c r="I171" s="1"/>
      <c r="J171" s="515"/>
    </row>
    <row r="172" spans="2:13" ht="15.75" thickBot="1" x14ac:dyDescent="0.25">
      <c r="B172" s="1"/>
      <c r="C172" s="1"/>
      <c r="D172" s="1"/>
      <c r="E172" s="524"/>
      <c r="G172" s="1"/>
      <c r="H172" s="1"/>
      <c r="I172" s="1"/>
      <c r="J172" s="524"/>
    </row>
    <row r="173" spans="2:13" ht="16.5" thickBot="1" x14ac:dyDescent="0.3">
      <c r="B173" s="1"/>
      <c r="C173" s="525" t="s">
        <v>667</v>
      </c>
      <c r="D173" s="526" t="s">
        <v>668</v>
      </c>
      <c r="E173" s="1"/>
      <c r="G173" s="527"/>
      <c r="H173" s="528" t="s">
        <v>760</v>
      </c>
      <c r="I173" s="529"/>
      <c r="J173" s="530"/>
      <c r="K173" s="528" t="s">
        <v>761</v>
      </c>
      <c r="L173" s="529"/>
      <c r="M173" s="530"/>
    </row>
    <row r="174" spans="2:13" ht="15.75" x14ac:dyDescent="0.2">
      <c r="B174" s="1"/>
      <c r="C174" s="74" t="s">
        <v>661</v>
      </c>
      <c r="D174" s="495">
        <f>H100</f>
        <v>0</v>
      </c>
      <c r="E174" s="1"/>
      <c r="G174" s="531"/>
      <c r="H174" s="532" t="s">
        <v>762</v>
      </c>
      <c r="I174" s="532" t="s">
        <v>763</v>
      </c>
      <c r="J174" s="532" t="s">
        <v>764</v>
      </c>
      <c r="K174" s="532" t="s">
        <v>765</v>
      </c>
      <c r="L174" s="532" t="s">
        <v>766</v>
      </c>
      <c r="M174" s="532" t="s">
        <v>767</v>
      </c>
    </row>
    <row r="175" spans="2:13" ht="16.5" thickBot="1" x14ac:dyDescent="0.25">
      <c r="C175" s="74" t="s">
        <v>669</v>
      </c>
      <c r="D175" s="435">
        <v>3650</v>
      </c>
      <c r="E175" s="1" t="s">
        <v>803</v>
      </c>
      <c r="G175" s="533" t="s">
        <v>768</v>
      </c>
      <c r="H175" s="534">
        <v>1000</v>
      </c>
      <c r="I175" s="534">
        <v>1000</v>
      </c>
      <c r="J175" s="534">
        <v>1000</v>
      </c>
      <c r="K175" s="534">
        <v>1000</v>
      </c>
      <c r="L175" s="534">
        <v>1000</v>
      </c>
      <c r="M175" s="534">
        <v>1000</v>
      </c>
    </row>
    <row r="176" spans="2:13" ht="16.5" thickBot="1" x14ac:dyDescent="0.25">
      <c r="C176" s="74" t="s">
        <v>670</v>
      </c>
      <c r="D176" s="409">
        <f>D175*D174</f>
        <v>0</v>
      </c>
      <c r="E176" s="1" t="s">
        <v>666</v>
      </c>
      <c r="G176" s="535" t="s">
        <v>769</v>
      </c>
      <c r="H176" s="536">
        <v>0.4</v>
      </c>
      <c r="I176" s="537">
        <v>0.3</v>
      </c>
      <c r="J176" s="538">
        <v>0.4</v>
      </c>
      <c r="K176" s="539">
        <v>0.3</v>
      </c>
      <c r="L176" s="538">
        <v>0.3</v>
      </c>
      <c r="M176" s="540">
        <v>0.3</v>
      </c>
    </row>
    <row r="177" spans="2:14" x14ac:dyDescent="0.2">
      <c r="B177" s="1"/>
      <c r="C177" s="541" t="s">
        <v>671</v>
      </c>
      <c r="D177" s="452">
        <v>0.3</v>
      </c>
      <c r="E177" s="1"/>
      <c r="G177" s="1"/>
      <c r="H177" s="1"/>
      <c r="I177" s="1"/>
      <c r="J177" s="1"/>
      <c r="K177" s="1"/>
      <c r="L177" s="1"/>
      <c r="M177" s="1"/>
    </row>
    <row r="178" spans="2:14" x14ac:dyDescent="0.2">
      <c r="B178" s="1"/>
      <c r="C178" s="541" t="s">
        <v>662</v>
      </c>
      <c r="D178" s="409">
        <f>D176*1/D177</f>
        <v>0</v>
      </c>
      <c r="E178" s="1" t="s">
        <v>666</v>
      </c>
      <c r="N178" s="1"/>
    </row>
    <row r="179" spans="2:14" x14ac:dyDescent="0.2">
      <c r="B179" s="1"/>
      <c r="C179" s="74" t="s">
        <v>672</v>
      </c>
      <c r="D179" s="409">
        <f>D8</f>
        <v>100</v>
      </c>
      <c r="E179" s="1" t="s">
        <v>1000</v>
      </c>
      <c r="N179" s="1"/>
    </row>
    <row r="180" spans="2:14" x14ac:dyDescent="0.2">
      <c r="B180" s="1"/>
      <c r="C180" s="74" t="s">
        <v>663</v>
      </c>
      <c r="D180" s="409">
        <f>D178/D179</f>
        <v>0</v>
      </c>
      <c r="E180" s="1" t="s">
        <v>802</v>
      </c>
      <c r="N180" s="1"/>
    </row>
    <row r="181" spans="2:14" x14ac:dyDescent="0.2">
      <c r="B181" s="1"/>
      <c r="C181" s="74" t="s">
        <v>664</v>
      </c>
      <c r="D181" s="435">
        <v>1000</v>
      </c>
      <c r="E181" s="1" t="s">
        <v>802</v>
      </c>
      <c r="N181" s="1"/>
    </row>
    <row r="182" spans="2:14" x14ac:dyDescent="0.2">
      <c r="B182" s="1"/>
      <c r="C182" s="74" t="s">
        <v>665</v>
      </c>
      <c r="D182" s="409">
        <f>D181+D180</f>
        <v>1000</v>
      </c>
      <c r="E182" s="1" t="s">
        <v>802</v>
      </c>
      <c r="N182" s="1"/>
    </row>
    <row r="183" spans="2:14" x14ac:dyDescent="0.2">
      <c r="B183" s="1"/>
      <c r="C183" s="542"/>
      <c r="D183" s="543"/>
      <c r="E183" s="1"/>
      <c r="N183" s="1"/>
    </row>
    <row r="184" spans="2:14" x14ac:dyDescent="0.2">
      <c r="B184" s="1"/>
      <c r="C184" s="1"/>
      <c r="D184" s="1"/>
      <c r="E184" s="1"/>
      <c r="F184" s="1"/>
      <c r="G184" s="1"/>
      <c r="H184" s="1"/>
      <c r="I184" s="1"/>
      <c r="J184" s="1"/>
      <c r="K184" s="1"/>
      <c r="L184" s="1"/>
      <c r="M184" s="1"/>
      <c r="N184" s="1"/>
    </row>
    <row r="185" spans="2:14" x14ac:dyDescent="0.2">
      <c r="B185" s="1"/>
      <c r="C185" s="1"/>
      <c r="D185" s="1"/>
      <c r="E185" s="1"/>
      <c r="F185" s="1"/>
      <c r="G185" s="1"/>
      <c r="H185" s="1"/>
      <c r="I185" s="1"/>
      <c r="J185" s="1"/>
      <c r="K185" s="1"/>
      <c r="L185" s="1"/>
      <c r="M185" s="1"/>
      <c r="N185" s="1"/>
    </row>
    <row r="186" spans="2:14" x14ac:dyDescent="0.2">
      <c r="B186" s="1"/>
      <c r="C186" s="1"/>
      <c r="D186" s="1"/>
      <c r="E186" s="1"/>
      <c r="F186" s="1"/>
      <c r="G186" s="1"/>
      <c r="H186" s="1"/>
      <c r="I186" s="1"/>
      <c r="J186" s="1"/>
      <c r="K186" s="1"/>
      <c r="L186" s="1"/>
      <c r="M186" s="1"/>
      <c r="N186" s="1"/>
    </row>
    <row r="187" spans="2:14" x14ac:dyDescent="0.2">
      <c r="B187" s="1"/>
      <c r="C187" s="1"/>
      <c r="D187" s="1"/>
      <c r="E187" s="1"/>
      <c r="F187" s="1"/>
      <c r="G187" s="1"/>
      <c r="H187" s="1"/>
      <c r="I187" s="1"/>
      <c r="J187" s="1"/>
      <c r="K187" s="1"/>
      <c r="L187" s="1"/>
      <c r="M187" s="1"/>
      <c r="N187" s="1"/>
    </row>
    <row r="188" spans="2:14" x14ac:dyDescent="0.2">
      <c r="B188" s="1"/>
      <c r="C188" s="1"/>
      <c r="D188" s="1"/>
      <c r="E188" s="1"/>
      <c r="F188" s="1"/>
      <c r="G188" s="1"/>
      <c r="H188" s="1"/>
      <c r="I188" s="1"/>
      <c r="J188" s="1"/>
      <c r="K188" s="1"/>
      <c r="L188" s="1"/>
      <c r="M188" s="1"/>
      <c r="N188" s="1"/>
    </row>
    <row r="189" spans="2:14" x14ac:dyDescent="0.2">
      <c r="B189" s="1"/>
      <c r="C189" s="1"/>
      <c r="D189" s="1"/>
      <c r="E189" s="1"/>
      <c r="F189" s="1"/>
      <c r="G189" s="1"/>
      <c r="H189" s="1"/>
      <c r="I189" s="1"/>
      <c r="J189" s="1"/>
      <c r="K189" s="1"/>
      <c r="L189" s="1"/>
      <c r="M189" s="1"/>
      <c r="N189" s="1"/>
    </row>
    <row r="190" spans="2:14" x14ac:dyDescent="0.2">
      <c r="B190" s="1"/>
      <c r="C190" s="1"/>
      <c r="D190" s="1"/>
      <c r="E190" s="1"/>
      <c r="F190" s="1"/>
      <c r="G190" s="1"/>
      <c r="H190" s="1"/>
      <c r="I190" s="1"/>
      <c r="J190" s="1"/>
      <c r="K190" s="1"/>
      <c r="L190" s="1"/>
      <c r="M190" s="1"/>
      <c r="N190" s="1"/>
    </row>
    <row r="191" spans="2:14" x14ac:dyDescent="0.2">
      <c r="B191" s="1"/>
      <c r="C191" s="1"/>
      <c r="D191" s="1"/>
      <c r="E191" s="1"/>
      <c r="F191" s="1"/>
      <c r="G191" s="1"/>
      <c r="H191" s="1"/>
      <c r="I191" s="1"/>
      <c r="J191" s="1"/>
      <c r="K191" s="1"/>
      <c r="L191" s="1"/>
      <c r="M191" s="1"/>
      <c r="N191" s="1"/>
    </row>
    <row r="192" spans="2:14" x14ac:dyDescent="0.2">
      <c r="B192" s="1"/>
      <c r="C192" s="1"/>
      <c r="D192" s="1"/>
      <c r="E192" s="1"/>
      <c r="F192" s="1"/>
      <c r="G192" s="1"/>
      <c r="H192" s="1"/>
      <c r="I192" s="1"/>
      <c r="J192" s="1"/>
      <c r="K192" s="1"/>
    </row>
    <row r="193" spans="2:11" x14ac:dyDescent="0.2">
      <c r="B193" s="1"/>
      <c r="C193" s="1"/>
      <c r="D193" s="1"/>
      <c r="E193" s="1"/>
      <c r="F193" s="1"/>
      <c r="G193" s="1"/>
      <c r="H193" s="1"/>
      <c r="I193" s="1"/>
      <c r="J193" s="1"/>
      <c r="K193" s="1"/>
    </row>
    <row r="194" spans="2:11" x14ac:dyDescent="0.2">
      <c r="C194" s="1"/>
      <c r="D194" s="1"/>
      <c r="E194" s="1"/>
      <c r="F194" s="1"/>
      <c r="G194" s="1"/>
      <c r="H194" s="1"/>
      <c r="I194" s="1"/>
      <c r="J194" s="1"/>
      <c r="K194" s="1"/>
    </row>
    <row r="195" spans="2:11" x14ac:dyDescent="0.2">
      <c r="E195" s="1"/>
      <c r="F195" s="1"/>
      <c r="G195" s="1"/>
      <c r="H195" s="1"/>
      <c r="I195" s="1"/>
      <c r="J195" s="1"/>
      <c r="K195" s="1"/>
    </row>
    <row r="196" spans="2:11" x14ac:dyDescent="0.2">
      <c r="E196" s="1"/>
      <c r="F196" s="1"/>
      <c r="G196" s="1"/>
      <c r="H196" s="1"/>
      <c r="I196" s="1"/>
      <c r="J196" s="1"/>
      <c r="K196" s="1"/>
    </row>
    <row r="197" spans="2:11" x14ac:dyDescent="0.2">
      <c r="E197" s="1"/>
      <c r="F197" s="1"/>
      <c r="G197" s="1"/>
      <c r="H197" s="1"/>
      <c r="I197" s="1"/>
      <c r="J197" s="1"/>
      <c r="K197" s="1"/>
    </row>
    <row r="198" spans="2:11" x14ac:dyDescent="0.2">
      <c r="E198" s="1"/>
      <c r="F198" s="1"/>
      <c r="G198" s="1"/>
      <c r="H198" s="1"/>
      <c r="I198" s="1"/>
      <c r="J198" s="1"/>
      <c r="K198" s="1"/>
    </row>
    <row r="199" spans="2:11" x14ac:dyDescent="0.2">
      <c r="E199" s="1"/>
      <c r="F199" s="1"/>
      <c r="G199" s="1"/>
      <c r="H199" s="1"/>
      <c r="I199" s="1"/>
      <c r="J199" s="1"/>
      <c r="K199" s="1"/>
    </row>
    <row r="200" spans="2:11" x14ac:dyDescent="0.2">
      <c r="E200" s="1"/>
      <c r="F200" s="1"/>
      <c r="G200" s="1"/>
      <c r="H200" s="1"/>
      <c r="I200" s="1"/>
      <c r="J200" s="1"/>
      <c r="K200" s="1"/>
    </row>
    <row r="201" spans="2:11" x14ac:dyDescent="0.2">
      <c r="E201" s="1"/>
      <c r="F201" s="1"/>
      <c r="G201" s="1"/>
      <c r="H201" s="1"/>
      <c r="I201" s="1"/>
      <c r="J201" s="1"/>
      <c r="K201" s="1"/>
    </row>
    <row r="202" spans="2:11" x14ac:dyDescent="0.2">
      <c r="E202" s="1"/>
      <c r="F202" s="1"/>
      <c r="G202" s="1"/>
      <c r="H202" s="1"/>
      <c r="I202" s="1"/>
      <c r="J202" s="1"/>
      <c r="K202" s="1"/>
    </row>
    <row r="203" spans="2:11" x14ac:dyDescent="0.2">
      <c r="E203" s="1"/>
      <c r="F203" s="1"/>
      <c r="G203" s="1"/>
      <c r="H203" s="1"/>
      <c r="I203" s="1"/>
      <c r="J203" s="1"/>
      <c r="K203" s="1"/>
    </row>
    <row r="204" spans="2:11" x14ac:dyDescent="0.2">
      <c r="E204" s="1"/>
      <c r="F204" s="1"/>
      <c r="G204" s="1"/>
      <c r="H204" s="1"/>
      <c r="I204" s="1"/>
      <c r="J204" s="1"/>
      <c r="K204" s="1"/>
    </row>
    <row r="205" spans="2:11" x14ac:dyDescent="0.2">
      <c r="B205" s="1"/>
      <c r="C205" s="1"/>
      <c r="D205" s="1"/>
      <c r="E205" s="1"/>
      <c r="F205" s="1"/>
      <c r="G205" s="1"/>
      <c r="H205" s="1"/>
      <c r="I205" s="1"/>
      <c r="J205" s="1"/>
      <c r="K205" s="1"/>
    </row>
    <row r="206" spans="2:11" x14ac:dyDescent="0.2">
      <c r="B206" s="1"/>
      <c r="C206" s="1"/>
      <c r="D206" s="1"/>
      <c r="E206" s="1"/>
      <c r="F206" s="1"/>
      <c r="G206" s="1"/>
      <c r="H206" s="1"/>
      <c r="I206" s="1"/>
      <c r="J206" s="1"/>
      <c r="K206" s="1"/>
    </row>
    <row r="207" spans="2:11" x14ac:dyDescent="0.2">
      <c r="B207" s="1"/>
      <c r="C207" s="1"/>
      <c r="D207" s="1"/>
      <c r="E207" s="1"/>
      <c r="F207" s="1"/>
      <c r="G207" s="1"/>
      <c r="H207" s="1"/>
      <c r="I207" s="1"/>
      <c r="J207" s="1"/>
      <c r="K207" s="1"/>
    </row>
    <row r="208" spans="2:11" x14ac:dyDescent="0.2">
      <c r="B208" s="1"/>
      <c r="C208" s="1"/>
      <c r="D208" s="1"/>
      <c r="E208" s="1"/>
      <c r="F208" s="1"/>
      <c r="G208" s="1"/>
      <c r="H208" s="1"/>
      <c r="I208" s="1"/>
      <c r="J208" s="1"/>
      <c r="K208" s="1"/>
    </row>
    <row r="209" spans="2:11" x14ac:dyDescent="0.2">
      <c r="B209" s="1"/>
      <c r="C209" s="1"/>
      <c r="D209" s="1"/>
      <c r="E209" s="1"/>
      <c r="F209" s="1"/>
      <c r="G209" s="1"/>
      <c r="H209" s="1"/>
      <c r="I209" s="1"/>
      <c r="J209" s="1"/>
      <c r="K209" s="1"/>
    </row>
    <row r="210" spans="2:11" x14ac:dyDescent="0.2">
      <c r="B210" s="1"/>
      <c r="C210" s="1"/>
      <c r="D210" s="1"/>
      <c r="E210" s="1"/>
      <c r="F210" s="1"/>
      <c r="G210" s="1"/>
      <c r="H210" s="1"/>
      <c r="I210" s="1"/>
      <c r="J210" s="1"/>
      <c r="K210" s="1"/>
    </row>
    <row r="211" spans="2:11" x14ac:dyDescent="0.2">
      <c r="B211" s="1"/>
      <c r="C211" s="1"/>
      <c r="D211" s="1"/>
      <c r="E211" s="1"/>
      <c r="F211" s="1"/>
      <c r="G211" s="1"/>
      <c r="H211" s="1"/>
      <c r="I211" s="1"/>
      <c r="J211" s="1"/>
      <c r="K211" s="1"/>
    </row>
    <row r="212" spans="2:11" x14ac:dyDescent="0.2">
      <c r="B212" s="1"/>
      <c r="C212" s="1"/>
      <c r="D212" s="1"/>
      <c r="E212" s="1"/>
      <c r="F212" s="1"/>
      <c r="G212" s="1"/>
      <c r="H212" s="1"/>
      <c r="I212" s="1"/>
      <c r="J212" s="1"/>
      <c r="K212" s="1"/>
    </row>
    <row r="213" spans="2:11" x14ac:dyDescent="0.2">
      <c r="B213" s="1"/>
      <c r="C213" s="1"/>
      <c r="D213" s="1"/>
      <c r="E213" s="1"/>
      <c r="F213" s="1"/>
      <c r="G213" s="1"/>
      <c r="H213" s="1"/>
      <c r="I213" s="1"/>
      <c r="J213" s="1"/>
      <c r="K213" s="1"/>
    </row>
    <row r="214" spans="2:11" x14ac:dyDescent="0.2">
      <c r="B214" s="1"/>
      <c r="C214" s="1"/>
      <c r="D214" s="1"/>
      <c r="E214" s="1"/>
      <c r="F214" s="1"/>
      <c r="G214" s="1"/>
      <c r="H214" s="1"/>
      <c r="I214" s="1"/>
      <c r="J214" s="1"/>
      <c r="K214" s="1"/>
    </row>
    <row r="215" spans="2:11" x14ac:dyDescent="0.2">
      <c r="B215" s="1"/>
      <c r="C215" s="1"/>
      <c r="D215" s="1"/>
      <c r="E215" s="1"/>
      <c r="F215" s="1"/>
      <c r="G215" s="1"/>
      <c r="H215" s="1"/>
      <c r="I215" s="1"/>
      <c r="J215" s="1"/>
      <c r="K215" s="1"/>
    </row>
    <row r="216" spans="2:11" x14ac:dyDescent="0.2">
      <c r="B216" s="1"/>
      <c r="C216" s="1"/>
      <c r="D216" s="1"/>
      <c r="E216" s="1"/>
      <c r="F216" s="1"/>
      <c r="G216" s="1"/>
      <c r="H216" s="1"/>
      <c r="I216" s="1"/>
      <c r="J216" s="1"/>
      <c r="K216" s="1"/>
    </row>
    <row r="217" spans="2:11" x14ac:dyDescent="0.2">
      <c r="B217" s="1"/>
      <c r="C217" s="1"/>
      <c r="D217" s="1"/>
      <c r="E217" s="1"/>
      <c r="F217" s="1"/>
      <c r="G217" s="1"/>
      <c r="H217" s="1"/>
      <c r="I217" s="1"/>
      <c r="J217" s="1"/>
      <c r="K217" s="1"/>
    </row>
    <row r="218" spans="2:11" x14ac:dyDescent="0.2">
      <c r="B218" s="1"/>
      <c r="C218" s="1"/>
      <c r="D218" s="1"/>
      <c r="E218" s="1"/>
      <c r="F218" s="1"/>
      <c r="G218" s="1"/>
      <c r="H218" s="1"/>
      <c r="I218" s="1"/>
      <c r="J218" s="1"/>
      <c r="K218" s="1"/>
    </row>
    <row r="219" spans="2:11" x14ac:dyDescent="0.2">
      <c r="B219" s="1"/>
      <c r="C219" s="1"/>
      <c r="D219" s="1"/>
      <c r="E219" s="1"/>
      <c r="F219" s="1"/>
      <c r="G219" s="1"/>
      <c r="H219" s="1"/>
      <c r="I219" s="1"/>
      <c r="J219" s="1"/>
      <c r="K219" s="1"/>
    </row>
    <row r="220" spans="2:11" x14ac:dyDescent="0.2">
      <c r="B220" s="1"/>
      <c r="C220" s="1"/>
      <c r="D220" s="1"/>
      <c r="E220" s="1"/>
      <c r="F220" s="1"/>
      <c r="G220" s="1"/>
      <c r="H220" s="1"/>
      <c r="I220" s="1"/>
      <c r="J220" s="1"/>
      <c r="K220" s="1"/>
    </row>
    <row r="221" spans="2:11" x14ac:dyDescent="0.2">
      <c r="B221" s="1"/>
      <c r="C221" s="1"/>
      <c r="D221" s="1"/>
      <c r="E221" s="1"/>
      <c r="F221" s="1"/>
      <c r="G221" s="1"/>
      <c r="H221" s="1"/>
      <c r="I221" s="1"/>
      <c r="J221" s="1"/>
      <c r="K221" s="1"/>
    </row>
    <row r="222" spans="2:11" x14ac:dyDescent="0.2">
      <c r="B222" s="1"/>
      <c r="C222" s="1"/>
      <c r="D222" s="1"/>
      <c r="E222" s="1"/>
      <c r="F222" s="1"/>
      <c r="G222" s="1"/>
      <c r="H222" s="1"/>
      <c r="I222" s="1"/>
      <c r="J222" s="1"/>
      <c r="K222" s="1"/>
    </row>
    <row r="223" spans="2:11" x14ac:dyDescent="0.2">
      <c r="B223" s="1"/>
      <c r="C223" s="1"/>
      <c r="D223" s="1"/>
      <c r="E223" s="1"/>
      <c r="F223" s="1"/>
      <c r="G223" s="1"/>
      <c r="H223" s="1"/>
      <c r="I223" s="1"/>
      <c r="J223" s="1"/>
      <c r="K223" s="1"/>
    </row>
  </sheetData>
  <mergeCells count="13">
    <mergeCell ref="Q12:R12"/>
    <mergeCell ref="Q13:R13"/>
    <mergeCell ref="Q14:R14"/>
    <mergeCell ref="Q15:R15"/>
    <mergeCell ref="Q24:R24"/>
    <mergeCell ref="Q20:R20"/>
    <mergeCell ref="Q21:R21"/>
    <mergeCell ref="Q22:R22"/>
    <mergeCell ref="Q23:R23"/>
    <mergeCell ref="Q16:R16"/>
    <mergeCell ref="Q17:R17"/>
    <mergeCell ref="Q18:R18"/>
    <mergeCell ref="Q19:R19"/>
  </mergeCells>
  <phoneticPr fontId="0" type="noConversion"/>
  <pageMargins left="0.36" right="0.31496062992125984" top="0.35433070866141736" bottom="0.31496062992125984" header="0.11811023622047245" footer="0.11811023622047245"/>
  <pageSetup paperSize="9" scale="45" orientation="portrait" r:id="rId1"/>
  <headerFooter alignWithMargins="0">
    <oddHeader>&amp;C&amp;F &amp;A</oddHeader>
    <oddFooter>&amp;C&amp;D Page &amp;P</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2:AR223"/>
  <sheetViews>
    <sheetView showGridLines="0" zoomScale="55" workbookViewId="0"/>
  </sheetViews>
  <sheetFormatPr defaultColWidth="8.77734375" defaultRowHeight="15" x14ac:dyDescent="0.2"/>
  <cols>
    <col min="1" max="1" width="14.6640625" style="419" customWidth="1"/>
    <col min="2" max="2" width="15.6640625" style="419" customWidth="1"/>
    <col min="3" max="3" width="31" style="419" customWidth="1"/>
    <col min="4" max="4" width="25.44140625" style="419" bestFit="1" customWidth="1"/>
    <col min="5" max="5" width="27.77734375" style="419" customWidth="1"/>
    <col min="6" max="6" width="30" style="419" customWidth="1"/>
    <col min="7" max="7" width="26.44140625" style="419" customWidth="1"/>
    <col min="8" max="8" width="26.6640625" style="419" customWidth="1"/>
    <col min="9" max="9" width="20.88671875" style="419" bestFit="1" customWidth="1"/>
    <col min="10" max="10" width="23.77734375" style="419" customWidth="1"/>
    <col min="11" max="11" width="21.77734375" style="419" customWidth="1"/>
    <col min="12" max="12" width="21.21875" style="419" customWidth="1"/>
    <col min="13" max="13" width="20.88671875" style="419" customWidth="1"/>
    <col min="14" max="17" width="16.109375" style="419" customWidth="1"/>
    <col min="18" max="18" width="21" style="419" customWidth="1"/>
    <col min="19" max="19" width="16.88671875" style="419" customWidth="1"/>
    <col min="20" max="20" width="19.109375" style="419" customWidth="1"/>
    <col min="21" max="21" width="18.6640625" style="419" customWidth="1"/>
    <col min="22" max="22" width="13.5546875" style="419" customWidth="1"/>
    <col min="23" max="23" width="13" style="419" customWidth="1"/>
    <col min="24" max="24" width="12.109375" style="419" customWidth="1"/>
    <col min="25" max="25" width="40.109375" style="419" bestFit="1" customWidth="1"/>
    <col min="26" max="26" width="25.33203125" style="419" bestFit="1" customWidth="1"/>
    <col min="27" max="27" width="15.88671875" style="422" bestFit="1" customWidth="1"/>
    <col min="28" max="28" width="14" style="422" customWidth="1"/>
    <col min="29" max="29" width="23.33203125" style="422" bestFit="1" customWidth="1"/>
    <col min="30" max="30" width="17.77734375" style="422" customWidth="1"/>
    <col min="31" max="31" width="12.109375" style="422" bestFit="1" customWidth="1"/>
    <col min="32" max="32" width="12.33203125" style="422" customWidth="1"/>
    <col min="33" max="34" width="8.77734375" style="419"/>
    <col min="35" max="35" width="38.109375" style="419" bestFit="1" customWidth="1"/>
    <col min="36" max="36" width="21.44140625" style="419" bestFit="1" customWidth="1"/>
    <col min="37" max="37" width="32.109375" style="419" customWidth="1"/>
    <col min="38" max="38" width="30.88671875" style="419" bestFit="1" customWidth="1"/>
    <col min="39" max="39" width="19" style="419" bestFit="1" customWidth="1"/>
    <col min="40" max="40" width="8.77734375" style="419"/>
    <col min="41" max="41" width="17.6640625" style="419" customWidth="1"/>
    <col min="42" max="42" width="12.109375" style="419" bestFit="1" customWidth="1"/>
    <col min="43" max="43" width="18.44140625" style="419" bestFit="1" customWidth="1"/>
    <col min="44" max="16384" width="8.77734375" style="419"/>
  </cols>
  <sheetData>
    <row r="2" spans="1:28" ht="20.25" x14ac:dyDescent="0.3">
      <c r="B2" s="545" t="s">
        <v>246</v>
      </c>
    </row>
    <row r="3" spans="1:28" ht="15.75" x14ac:dyDescent="0.25">
      <c r="A3" s="446"/>
    </row>
    <row r="4" spans="1:28" ht="13.5" customHeight="1" x14ac:dyDescent="0.25">
      <c r="A4" s="446"/>
    </row>
    <row r="5" spans="1:28" ht="15.75" x14ac:dyDescent="0.25">
      <c r="B5" s="446" t="s">
        <v>800</v>
      </c>
      <c r="C5" s="416" t="str">
        <f>'Gross margin summary'!N15</f>
        <v>GM11</v>
      </c>
      <c r="D5" s="417"/>
      <c r="E5" s="446"/>
    </row>
    <row r="7" spans="1:28" ht="18" customHeight="1" x14ac:dyDescent="0.2">
      <c r="A7" s="1"/>
      <c r="B7" s="1"/>
      <c r="C7" s="1"/>
      <c r="D7" s="1"/>
      <c r="E7" s="1"/>
      <c r="F7" s="1"/>
      <c r="G7" s="1"/>
      <c r="H7" s="1"/>
      <c r="I7" s="1"/>
      <c r="J7" s="1"/>
      <c r="K7" s="1"/>
      <c r="L7" s="1"/>
      <c r="M7" s="1"/>
      <c r="N7" s="1"/>
      <c r="O7" s="1"/>
      <c r="P7" s="1"/>
      <c r="Q7" s="1"/>
      <c r="R7" s="1"/>
      <c r="S7" s="1"/>
      <c r="T7" s="1"/>
      <c r="U7" s="1"/>
      <c r="V7" s="1"/>
      <c r="W7" s="1"/>
      <c r="X7" s="1"/>
      <c r="Y7" s="1"/>
      <c r="Z7" s="1"/>
      <c r="AA7" s="6"/>
    </row>
    <row r="8" spans="1:28" ht="18" customHeight="1" x14ac:dyDescent="0.2">
      <c r="A8" s="1"/>
      <c r="B8" s="1"/>
      <c r="C8" s="12" t="s">
        <v>689</v>
      </c>
      <c r="D8" s="546">
        <v>100</v>
      </c>
      <c r="E8" s="1" t="s">
        <v>1000</v>
      </c>
      <c r="L8" s="1"/>
      <c r="M8" s="1"/>
      <c r="O8" s="1"/>
      <c r="P8" s="1"/>
      <c r="Q8" s="1"/>
      <c r="R8" s="1"/>
      <c r="S8" s="1"/>
      <c r="T8" s="1"/>
      <c r="U8" s="1"/>
      <c r="V8" s="1"/>
      <c r="W8" s="1"/>
      <c r="X8" s="1"/>
      <c r="Y8" s="1"/>
      <c r="Z8" s="1"/>
      <c r="AA8" s="6"/>
    </row>
    <row r="9" spans="1:28" ht="18" customHeight="1" x14ac:dyDescent="0.2">
      <c r="A9" s="1"/>
      <c r="B9" s="1"/>
      <c r="C9" s="12" t="s">
        <v>373</v>
      </c>
      <c r="D9" s="546">
        <v>90</v>
      </c>
      <c r="E9" s="419" t="s">
        <v>1000</v>
      </c>
      <c r="F9" s="12"/>
      <c r="G9"/>
      <c r="H9"/>
      <c r="I9"/>
      <c r="J9"/>
      <c r="K9"/>
      <c r="L9" s="1"/>
      <c r="M9" s="1"/>
      <c r="O9" s="1"/>
      <c r="P9" s="1"/>
      <c r="Q9" s="443" t="s">
        <v>645</v>
      </c>
      <c r="R9" s="443"/>
      <c r="S9" s="443"/>
      <c r="T9" s="1"/>
      <c r="U9" s="1"/>
      <c r="V9" s="1"/>
      <c r="W9" s="1"/>
      <c r="X9" s="1"/>
      <c r="Y9" s="1"/>
      <c r="Z9" s="1"/>
      <c r="AA9" s="6"/>
    </row>
    <row r="10" spans="1:28" ht="18" customHeight="1" x14ac:dyDescent="0.2">
      <c r="A10" s="1"/>
      <c r="B10" s="1"/>
      <c r="C10" s="12" t="s">
        <v>690</v>
      </c>
      <c r="D10" s="421">
        <f>IF(D9&lt;=0,0,D9/D8)</f>
        <v>0.9</v>
      </c>
      <c r="F10" s="12"/>
      <c r="G10"/>
      <c r="H10"/>
      <c r="I10"/>
      <c r="J10"/>
      <c r="K10"/>
      <c r="L10" s="1"/>
      <c r="M10" s="1"/>
      <c r="O10" s="1"/>
      <c r="P10" s="1"/>
      <c r="Q10" s="1"/>
      <c r="R10" s="1"/>
      <c r="S10" s="1"/>
      <c r="T10" s="1"/>
      <c r="U10" s="1"/>
      <c r="V10" s="1"/>
      <c r="W10" s="1"/>
      <c r="X10" s="1"/>
      <c r="Y10" s="1"/>
      <c r="Z10" s="1"/>
      <c r="AA10" s="6"/>
    </row>
    <row r="11" spans="1:28" ht="18" customHeight="1" x14ac:dyDescent="0.25">
      <c r="A11" s="1"/>
      <c r="B11" s="1"/>
      <c r="C11" s="12"/>
      <c r="D11"/>
      <c r="E11" s="1"/>
      <c r="F11" s="12"/>
      <c r="G11"/>
      <c r="H11"/>
      <c r="I11"/>
      <c r="J11"/>
      <c r="K11"/>
      <c r="L11" s="1"/>
      <c r="M11" s="1"/>
      <c r="O11" s="1"/>
      <c r="P11" s="1"/>
      <c r="R11" s="544"/>
      <c r="S11" s="477" t="s">
        <v>698</v>
      </c>
      <c r="T11" s="477" t="s">
        <v>699</v>
      </c>
      <c r="U11" s="477" t="s">
        <v>700</v>
      </c>
      <c r="V11" s="477" t="s">
        <v>701</v>
      </c>
      <c r="W11" s="477" t="s">
        <v>702</v>
      </c>
      <c r="X11" s="477" t="s">
        <v>703</v>
      </c>
      <c r="Y11" s="1"/>
      <c r="Z11" s="424" t="s">
        <v>857</v>
      </c>
      <c r="AA11" s="425"/>
      <c r="AB11" s="6"/>
    </row>
    <row r="12" spans="1:28" ht="18" customHeight="1" x14ac:dyDescent="0.2">
      <c r="A12" s="1"/>
      <c r="B12" s="1"/>
      <c r="C12" s="1"/>
      <c r="D12" s="1"/>
      <c r="E12" s="1"/>
      <c r="F12" s="1"/>
      <c r="G12" s="1"/>
      <c r="H12" s="1"/>
      <c r="I12" s="1"/>
      <c r="J12" s="1"/>
      <c r="K12" s="1"/>
      <c r="L12" s="1"/>
      <c r="M12" s="423"/>
      <c r="N12" s="1"/>
      <c r="O12" s="1"/>
      <c r="P12" s="1"/>
      <c r="Q12" s="583" t="s">
        <v>646</v>
      </c>
      <c r="R12" s="584"/>
      <c r="S12" s="429">
        <f>F16</f>
        <v>0</v>
      </c>
      <c r="T12" s="429">
        <f>F17</f>
        <v>0</v>
      </c>
      <c r="U12" s="429">
        <f>F18</f>
        <v>0</v>
      </c>
      <c r="V12" s="429">
        <f>F19</f>
        <v>0</v>
      </c>
      <c r="W12" s="429">
        <f>F20</f>
        <v>0</v>
      </c>
      <c r="X12" s="429">
        <f>F21</f>
        <v>0</v>
      </c>
      <c r="Z12" s="427" t="s">
        <v>858</v>
      </c>
      <c r="AA12" s="427"/>
      <c r="AB12" s="6"/>
    </row>
    <row r="13" spans="1:28" ht="18" customHeight="1" x14ac:dyDescent="0.25">
      <c r="A13" s="1"/>
      <c r="B13" s="5" t="s">
        <v>691</v>
      </c>
      <c r="C13" s="1"/>
      <c r="D13" s="426" t="s">
        <v>376</v>
      </c>
      <c r="E13" s="426"/>
      <c r="F13" s="426"/>
      <c r="G13" s="426"/>
      <c r="H13" s="1"/>
      <c r="I13" s="1"/>
      <c r="J13" s="1"/>
      <c r="K13" s="1"/>
      <c r="L13" s="1"/>
      <c r="M13" s="1"/>
      <c r="N13" s="1"/>
      <c r="O13" s="1"/>
      <c r="P13" s="1"/>
      <c r="Q13" s="583" t="s">
        <v>647</v>
      </c>
      <c r="R13" s="584"/>
      <c r="S13" s="478">
        <v>0</v>
      </c>
      <c r="T13" s="478">
        <v>0</v>
      </c>
      <c r="U13" s="478">
        <v>0</v>
      </c>
      <c r="V13" s="478">
        <v>0</v>
      </c>
      <c r="W13" s="478">
        <v>0</v>
      </c>
      <c r="X13" s="478">
        <v>0</v>
      </c>
      <c r="Z13" s="428" t="s">
        <v>859</v>
      </c>
      <c r="AA13" s="419"/>
      <c r="AB13" s="6"/>
    </row>
    <row r="14" spans="1:28" ht="18" customHeight="1" x14ac:dyDescent="0.25">
      <c r="A14" s="1"/>
      <c r="B14" s="1"/>
      <c r="C14" s="1"/>
      <c r="D14" s="1"/>
      <c r="E14" s="1"/>
      <c r="F14" s="1"/>
      <c r="G14" s="1"/>
      <c r="H14" s="1"/>
      <c r="I14" s="1"/>
      <c r="J14" s="1"/>
      <c r="K14" s="1"/>
      <c r="L14" s="1"/>
      <c r="M14" s="1"/>
      <c r="N14" s="1"/>
      <c r="O14" s="1"/>
      <c r="P14" s="1"/>
      <c r="Q14" s="583" t="s">
        <v>648</v>
      </c>
      <c r="R14" s="584"/>
      <c r="S14" s="409">
        <f t="shared" ref="S14:X14" si="0">S12*(1-S13)</f>
        <v>0</v>
      </c>
      <c r="T14" s="409">
        <f t="shared" si="0"/>
        <v>0</v>
      </c>
      <c r="U14" s="409">
        <f t="shared" si="0"/>
        <v>0</v>
      </c>
      <c r="V14" s="409">
        <f t="shared" si="0"/>
        <v>0</v>
      </c>
      <c r="W14" s="409">
        <f t="shared" si="0"/>
        <v>0</v>
      </c>
      <c r="X14" s="409">
        <f t="shared" si="0"/>
        <v>0</v>
      </c>
      <c r="Z14" s="430" t="s">
        <v>492</v>
      </c>
      <c r="AA14" s="430" t="s">
        <v>493</v>
      </c>
      <c r="AB14" s="6"/>
    </row>
    <row r="15" spans="1:28" ht="30.75" x14ac:dyDescent="0.25">
      <c r="A15" s="1"/>
      <c r="B15" s="1"/>
      <c r="C15" s="407" t="s">
        <v>377</v>
      </c>
      <c r="D15" s="407" t="s">
        <v>692</v>
      </c>
      <c r="E15" s="407" t="s">
        <v>391</v>
      </c>
      <c r="F15" s="407" t="s">
        <v>693</v>
      </c>
      <c r="G15" s="407" t="s">
        <v>694</v>
      </c>
      <c r="H15" s="407" t="s">
        <v>695</v>
      </c>
      <c r="I15" s="407" t="s">
        <v>559</v>
      </c>
      <c r="J15" s="407" t="s">
        <v>560</v>
      </c>
      <c r="K15" s="407" t="s">
        <v>696</v>
      </c>
      <c r="L15" s="407" t="s">
        <v>697</v>
      </c>
      <c r="M15"/>
      <c r="N15"/>
      <c r="Q15" s="583" t="s">
        <v>682</v>
      </c>
      <c r="R15" s="584"/>
      <c r="S15" s="445"/>
      <c r="T15" s="445"/>
      <c r="U15" s="445"/>
      <c r="V15" s="445"/>
      <c r="W15" s="445"/>
      <c r="X15" s="445"/>
      <c r="Z15" s="434" t="s">
        <v>494</v>
      </c>
      <c r="AA15" s="434" t="s">
        <v>495</v>
      </c>
      <c r="AB15" s="6"/>
    </row>
    <row r="16" spans="1:28" ht="18" customHeight="1" x14ac:dyDescent="0.2">
      <c r="A16" s="1"/>
      <c r="B16" s="1" t="s">
        <v>698</v>
      </c>
      <c r="C16" s="431"/>
      <c r="D16" s="479"/>
      <c r="E16" s="480"/>
      <c r="F16" s="432"/>
      <c r="G16" s="433">
        <f t="shared" ref="G16:G21" si="1">F16*E16</f>
        <v>0</v>
      </c>
      <c r="H16" s="411">
        <f t="shared" ref="H16:H21" si="2">G16*D16</f>
        <v>0</v>
      </c>
      <c r="I16" s="413">
        <f t="shared" ref="I16:I21" si="3">D16/$D$8</f>
        <v>0</v>
      </c>
      <c r="J16" s="413">
        <f t="shared" ref="J16:J21" si="4">IF(D16&lt;=0,0,$D$8/D16)</f>
        <v>0</v>
      </c>
      <c r="K16" s="413">
        <f t="shared" ref="K16:K21" si="5">D16/$D$9</f>
        <v>0</v>
      </c>
      <c r="L16" s="413">
        <f t="shared" ref="L16:L21" si="6">IF(D16&lt;=0,0,$D$9/D16)</f>
        <v>0</v>
      </c>
      <c r="M16"/>
      <c r="N16"/>
      <c r="Q16" s="583" t="s">
        <v>683</v>
      </c>
      <c r="R16" s="584"/>
      <c r="S16" s="433">
        <f t="shared" ref="S16:X16" si="7">S15*S14</f>
        <v>0</v>
      </c>
      <c r="T16" s="433">
        <f t="shared" si="7"/>
        <v>0</v>
      </c>
      <c r="U16" s="433">
        <f t="shared" si="7"/>
        <v>0</v>
      </c>
      <c r="V16" s="433">
        <f t="shared" si="7"/>
        <v>0</v>
      </c>
      <c r="W16" s="433">
        <f t="shared" si="7"/>
        <v>0</v>
      </c>
      <c r="X16" s="433">
        <f t="shared" si="7"/>
        <v>0</v>
      </c>
      <c r="Z16" s="437">
        <v>250</v>
      </c>
      <c r="AA16" s="437">
        <v>38</v>
      </c>
      <c r="AB16" s="6"/>
    </row>
    <row r="17" spans="1:28" ht="18" customHeight="1" x14ac:dyDescent="0.2">
      <c r="A17" s="1"/>
      <c r="B17" s="1" t="s">
        <v>699</v>
      </c>
      <c r="C17" s="431"/>
      <c r="D17" s="435"/>
      <c r="E17" s="436"/>
      <c r="F17" s="432"/>
      <c r="G17" s="433">
        <f t="shared" si="1"/>
        <v>0</v>
      </c>
      <c r="H17" s="411">
        <f t="shared" si="2"/>
        <v>0</v>
      </c>
      <c r="I17" s="413">
        <f t="shared" si="3"/>
        <v>0</v>
      </c>
      <c r="J17" s="413">
        <f t="shared" si="4"/>
        <v>0</v>
      </c>
      <c r="K17" s="413">
        <f t="shared" si="5"/>
        <v>0</v>
      </c>
      <c r="L17" s="413">
        <f t="shared" si="6"/>
        <v>0</v>
      </c>
      <c r="M17"/>
      <c r="N17"/>
      <c r="Q17" s="583" t="s">
        <v>651</v>
      </c>
      <c r="R17" s="584"/>
      <c r="S17" s="478">
        <v>3.5000000000000003E-2</v>
      </c>
      <c r="T17" s="478"/>
      <c r="U17" s="478"/>
      <c r="V17" s="478"/>
      <c r="W17" s="478"/>
      <c r="X17" s="478"/>
      <c r="Z17" s="438">
        <v>300</v>
      </c>
      <c r="AA17" s="438">
        <v>34</v>
      </c>
      <c r="AB17" s="6"/>
    </row>
    <row r="18" spans="1:28" ht="18" customHeight="1" x14ac:dyDescent="0.2">
      <c r="A18" s="1"/>
      <c r="B18" s="1" t="s">
        <v>700</v>
      </c>
      <c r="C18" s="431"/>
      <c r="D18" s="435"/>
      <c r="E18" s="436"/>
      <c r="F18" s="432"/>
      <c r="G18" s="433">
        <f t="shared" si="1"/>
        <v>0</v>
      </c>
      <c r="H18" s="411">
        <f t="shared" si="2"/>
        <v>0</v>
      </c>
      <c r="I18" s="413">
        <f t="shared" si="3"/>
        <v>0</v>
      </c>
      <c r="J18" s="413">
        <f t="shared" si="4"/>
        <v>0</v>
      </c>
      <c r="K18" s="413">
        <f t="shared" si="5"/>
        <v>0</v>
      </c>
      <c r="L18" s="413">
        <f t="shared" si="6"/>
        <v>0</v>
      </c>
      <c r="Q18" s="583" t="s">
        <v>684</v>
      </c>
      <c r="R18" s="584"/>
      <c r="S18" s="433">
        <f t="shared" ref="S18:X18" si="8">S17*S16</f>
        <v>0</v>
      </c>
      <c r="T18" s="433">
        <f t="shared" si="8"/>
        <v>0</v>
      </c>
      <c r="U18" s="433">
        <f t="shared" si="8"/>
        <v>0</v>
      </c>
      <c r="V18" s="433">
        <f t="shared" si="8"/>
        <v>0</v>
      </c>
      <c r="W18" s="433">
        <f t="shared" si="8"/>
        <v>0</v>
      </c>
      <c r="X18" s="433">
        <f t="shared" si="8"/>
        <v>0</v>
      </c>
      <c r="Z18" s="438">
        <v>350</v>
      </c>
      <c r="AA18" s="438">
        <v>30</v>
      </c>
      <c r="AB18" s="6"/>
    </row>
    <row r="19" spans="1:28" ht="18" customHeight="1" x14ac:dyDescent="0.2">
      <c r="A19" s="1"/>
      <c r="B19" s="1" t="s">
        <v>701</v>
      </c>
      <c r="C19" s="431"/>
      <c r="D19" s="435"/>
      <c r="E19" s="436"/>
      <c r="F19" s="432"/>
      <c r="G19" s="433">
        <f t="shared" si="1"/>
        <v>0</v>
      </c>
      <c r="H19" s="411">
        <f t="shared" si="2"/>
        <v>0</v>
      </c>
      <c r="I19" s="413">
        <f t="shared" si="3"/>
        <v>0</v>
      </c>
      <c r="J19" s="413">
        <f t="shared" si="4"/>
        <v>0</v>
      </c>
      <c r="K19" s="413">
        <f t="shared" si="5"/>
        <v>0</v>
      </c>
      <c r="L19" s="413">
        <f t="shared" si="6"/>
        <v>0</v>
      </c>
      <c r="Q19" s="583" t="s">
        <v>653</v>
      </c>
      <c r="R19" s="584"/>
      <c r="S19" s="445"/>
      <c r="T19" s="445"/>
      <c r="U19" s="445"/>
      <c r="V19" s="445"/>
      <c r="W19" s="445"/>
      <c r="X19" s="445"/>
      <c r="Z19" s="438">
        <v>400</v>
      </c>
      <c r="AA19" s="438">
        <v>28</v>
      </c>
      <c r="AB19" s="6"/>
    </row>
    <row r="20" spans="1:28" ht="18" customHeight="1" x14ac:dyDescent="0.2">
      <c r="A20" s="1"/>
      <c r="B20" s="1" t="s">
        <v>702</v>
      </c>
      <c r="C20" s="431"/>
      <c r="D20" s="435"/>
      <c r="E20" s="436"/>
      <c r="F20" s="432"/>
      <c r="G20" s="433">
        <f t="shared" si="1"/>
        <v>0</v>
      </c>
      <c r="H20" s="411">
        <f t="shared" si="2"/>
        <v>0</v>
      </c>
      <c r="I20" s="413">
        <f t="shared" si="3"/>
        <v>0</v>
      </c>
      <c r="J20" s="413">
        <f t="shared" si="4"/>
        <v>0</v>
      </c>
      <c r="K20" s="413">
        <f t="shared" si="5"/>
        <v>0</v>
      </c>
      <c r="L20" s="413">
        <f t="shared" si="6"/>
        <v>0</v>
      </c>
      <c r="Q20" s="583" t="s">
        <v>685</v>
      </c>
      <c r="R20" s="584"/>
      <c r="S20" s="445"/>
      <c r="T20" s="445"/>
      <c r="U20" s="445"/>
      <c r="V20" s="445"/>
      <c r="W20" s="445"/>
      <c r="X20" s="445"/>
      <c r="Z20" s="438">
        <v>450</v>
      </c>
      <c r="AA20" s="438">
        <v>26</v>
      </c>
      <c r="AB20" s="6"/>
    </row>
    <row r="21" spans="1:28" ht="18" customHeight="1" x14ac:dyDescent="0.2">
      <c r="A21" s="1"/>
      <c r="B21" s="1" t="s">
        <v>703</v>
      </c>
      <c r="C21" s="431"/>
      <c r="D21" s="435"/>
      <c r="E21" s="436"/>
      <c r="F21" s="432"/>
      <c r="G21" s="433">
        <f t="shared" si="1"/>
        <v>0</v>
      </c>
      <c r="H21" s="411">
        <f t="shared" si="2"/>
        <v>0</v>
      </c>
      <c r="I21" s="413">
        <f t="shared" si="3"/>
        <v>0</v>
      </c>
      <c r="J21" s="413">
        <f t="shared" si="4"/>
        <v>0</v>
      </c>
      <c r="K21" s="413">
        <f t="shared" si="5"/>
        <v>0</v>
      </c>
      <c r="L21" s="413">
        <f t="shared" si="6"/>
        <v>0</v>
      </c>
      <c r="Q21" s="583" t="s">
        <v>655</v>
      </c>
      <c r="R21" s="584"/>
      <c r="S21" s="433">
        <f t="shared" ref="S21:X21" si="9">S16-S18-S19-S20</f>
        <v>0</v>
      </c>
      <c r="T21" s="433">
        <f t="shared" si="9"/>
        <v>0</v>
      </c>
      <c r="U21" s="433">
        <f t="shared" si="9"/>
        <v>0</v>
      </c>
      <c r="V21" s="433">
        <f t="shared" si="9"/>
        <v>0</v>
      </c>
      <c r="W21" s="433">
        <f t="shared" si="9"/>
        <v>0</v>
      </c>
      <c r="X21" s="433">
        <f t="shared" si="9"/>
        <v>0</v>
      </c>
      <c r="Z21" s="438">
        <v>500</v>
      </c>
      <c r="AA21" s="438">
        <v>24</v>
      </c>
      <c r="AB21" s="6"/>
    </row>
    <row r="22" spans="1:28" ht="18" customHeight="1" thickBot="1" x14ac:dyDescent="0.25">
      <c r="A22" s="1"/>
      <c r="B22" s="1"/>
      <c r="C22" s="1"/>
      <c r="D22" s="1"/>
      <c r="E22" s="1"/>
      <c r="F22" s="439">
        <f>SUMPRODUCT(D16:D21,F16:F21)</f>
        <v>0</v>
      </c>
      <c r="G22" s="1"/>
      <c r="H22" s="440">
        <f>SUM(H16:H21)</f>
        <v>0</v>
      </c>
      <c r="I22" s="1"/>
      <c r="J22" s="1"/>
      <c r="K22" s="1"/>
      <c r="L22" s="1"/>
      <c r="Q22" s="583" t="s">
        <v>656</v>
      </c>
      <c r="R22" s="584"/>
      <c r="S22" s="409">
        <f t="shared" ref="S22:X22" si="10">S12</f>
        <v>0</v>
      </c>
      <c r="T22" s="409">
        <f t="shared" si="10"/>
        <v>0</v>
      </c>
      <c r="U22" s="409">
        <f t="shared" si="10"/>
        <v>0</v>
      </c>
      <c r="V22" s="409">
        <f t="shared" si="10"/>
        <v>0</v>
      </c>
      <c r="W22" s="409">
        <f t="shared" si="10"/>
        <v>0</v>
      </c>
      <c r="X22" s="409">
        <f t="shared" si="10"/>
        <v>0</v>
      </c>
      <c r="Z22" s="438">
        <v>550</v>
      </c>
      <c r="AA22" s="438">
        <v>22</v>
      </c>
      <c r="AB22" s="6"/>
    </row>
    <row r="23" spans="1:28" ht="18" customHeight="1" thickTop="1" x14ac:dyDescent="0.2">
      <c r="A23" s="1"/>
      <c r="B23" s="1"/>
      <c r="C23" s="1"/>
      <c r="D23" s="1"/>
      <c r="E23" s="1"/>
      <c r="F23" s="1"/>
      <c r="G23" s="1"/>
      <c r="H23" s="1"/>
      <c r="I23" s="1"/>
      <c r="J23" s="1"/>
      <c r="K23" s="1"/>
      <c r="L23" s="1"/>
      <c r="M23" s="1"/>
      <c r="N23" s="1"/>
      <c r="O23" s="1"/>
      <c r="P23" s="1"/>
      <c r="Q23" s="583" t="s">
        <v>686</v>
      </c>
      <c r="R23" s="584"/>
      <c r="S23" s="433">
        <f t="shared" ref="S23:X23" si="11">IF(S14&gt;0,(S18+S19+S20)/S14,0)</f>
        <v>0</v>
      </c>
      <c r="T23" s="433">
        <f t="shared" si="11"/>
        <v>0</v>
      </c>
      <c r="U23" s="433">
        <f t="shared" si="11"/>
        <v>0</v>
      </c>
      <c r="V23" s="433">
        <f t="shared" si="11"/>
        <v>0</v>
      </c>
      <c r="W23" s="433">
        <f t="shared" si="11"/>
        <v>0</v>
      </c>
      <c r="X23" s="433">
        <f t="shared" si="11"/>
        <v>0</v>
      </c>
      <c r="Z23" s="438">
        <v>600</v>
      </c>
      <c r="AA23" s="438">
        <v>20</v>
      </c>
      <c r="AB23" s="6"/>
    </row>
    <row r="24" spans="1:28" ht="18" customHeight="1" x14ac:dyDescent="0.2">
      <c r="A24" s="1"/>
      <c r="C24" s="1"/>
      <c r="D24" s="1"/>
      <c r="E24" s="1"/>
      <c r="F24" s="1"/>
      <c r="G24" s="1"/>
      <c r="H24" s="1"/>
      <c r="I24" s="1"/>
      <c r="J24" s="1"/>
      <c r="K24" s="1"/>
      <c r="L24" s="1"/>
      <c r="M24" s="1"/>
      <c r="N24" s="1"/>
      <c r="O24" s="1"/>
      <c r="P24" s="1"/>
      <c r="Q24" s="583" t="s">
        <v>687</v>
      </c>
      <c r="R24" s="584"/>
      <c r="S24" s="433">
        <f t="shared" ref="S24:X24" si="12">IF(S22&gt;0,S21/S22,0)</f>
        <v>0</v>
      </c>
      <c r="T24" s="433">
        <f t="shared" si="12"/>
        <v>0</v>
      </c>
      <c r="U24" s="433">
        <f t="shared" si="12"/>
        <v>0</v>
      </c>
      <c r="V24" s="433">
        <f t="shared" si="12"/>
        <v>0</v>
      </c>
      <c r="W24" s="433">
        <f t="shared" si="12"/>
        <v>0</v>
      </c>
      <c r="X24" s="433">
        <f t="shared" si="12"/>
        <v>0</v>
      </c>
      <c r="Z24" s="438">
        <v>650</v>
      </c>
      <c r="AA24" s="438">
        <v>18</v>
      </c>
      <c r="AB24" s="6"/>
    </row>
    <row r="25" spans="1:28" customFormat="1" ht="18" customHeight="1" x14ac:dyDescent="0.2"/>
    <row r="26" spans="1:28" customFormat="1" ht="18" customHeight="1" x14ac:dyDescent="0.25">
      <c r="B26" s="5" t="s">
        <v>390</v>
      </c>
      <c r="C26" s="419"/>
      <c r="D26" s="193"/>
      <c r="E26" s="193"/>
      <c r="F26" s="193"/>
      <c r="G26" s="193"/>
      <c r="H26" s="193"/>
      <c r="I26" s="193"/>
      <c r="J26" s="419"/>
      <c r="K26" s="419"/>
      <c r="L26" s="245"/>
    </row>
    <row r="27" spans="1:28" customFormat="1" ht="18" customHeight="1" x14ac:dyDescent="0.25">
      <c r="B27" s="446"/>
      <c r="C27" s="255"/>
      <c r="D27" s="193"/>
      <c r="E27" s="193"/>
      <c r="F27" s="193"/>
      <c r="G27" s="193"/>
      <c r="H27" s="193"/>
      <c r="I27" s="193"/>
      <c r="J27" s="193"/>
      <c r="K27" s="419"/>
      <c r="L27" s="245"/>
    </row>
    <row r="28" spans="1:28" customFormat="1" ht="30.75" x14ac:dyDescent="0.25">
      <c r="C28" s="407" t="s">
        <v>866</v>
      </c>
      <c r="D28" s="407" t="s">
        <v>867</v>
      </c>
      <c r="E28" s="407" t="s">
        <v>384</v>
      </c>
      <c r="F28" s="408" t="s">
        <v>716</v>
      </c>
      <c r="G28" s="408" t="s">
        <v>385</v>
      </c>
      <c r="H28" s="408" t="s">
        <v>386</v>
      </c>
      <c r="I28" s="407" t="s">
        <v>387</v>
      </c>
      <c r="J28" s="407" t="s">
        <v>389</v>
      </c>
      <c r="K28" s="407" t="s">
        <v>688</v>
      </c>
      <c r="L28" s="407" t="s">
        <v>388</v>
      </c>
      <c r="Z28" s="446" t="s">
        <v>375</v>
      </c>
      <c r="AA28" s="419"/>
    </row>
    <row r="29" spans="1:28" customFormat="1" ht="18" customHeight="1" x14ac:dyDescent="0.2">
      <c r="B29" s="1" t="s">
        <v>698</v>
      </c>
      <c r="C29" s="409">
        <f t="shared" ref="C29:C34" si="13">D16</f>
        <v>0</v>
      </c>
      <c r="D29" s="409">
        <f t="shared" ref="D29:D34" si="14">F16</f>
        <v>0</v>
      </c>
      <c r="E29" s="450"/>
      <c r="F29" s="451"/>
      <c r="G29" s="450"/>
      <c r="H29" s="411">
        <f t="shared" ref="H29:H34" si="15">IF(C29&gt;0,C29*E29*F29/G29,0)</f>
        <v>0</v>
      </c>
      <c r="I29" s="433">
        <f t="shared" ref="I29:I34" si="16">IF(C29&gt;0,H29/C29,0)</f>
        <v>0</v>
      </c>
      <c r="J29" s="549">
        <v>0</v>
      </c>
      <c r="K29" s="549">
        <v>0</v>
      </c>
      <c r="L29" s="433">
        <f t="shared" ref="L29:L34" si="17">K29*C29</f>
        <v>0</v>
      </c>
      <c r="Z29" s="419"/>
      <c r="AA29" s="419"/>
    </row>
    <row r="30" spans="1:28" customFormat="1" ht="18" customHeight="1" x14ac:dyDescent="0.25">
      <c r="B30" s="1" t="s">
        <v>699</v>
      </c>
      <c r="C30" s="409">
        <f t="shared" si="13"/>
        <v>0</v>
      </c>
      <c r="D30" s="409">
        <f t="shared" si="14"/>
        <v>0</v>
      </c>
      <c r="E30" s="450"/>
      <c r="F30" s="451"/>
      <c r="G30" s="450"/>
      <c r="H30" s="411">
        <f t="shared" si="15"/>
        <v>0</v>
      </c>
      <c r="I30" s="433">
        <f t="shared" si="16"/>
        <v>0</v>
      </c>
      <c r="J30" s="549">
        <v>0</v>
      </c>
      <c r="K30" s="549">
        <v>0</v>
      </c>
      <c r="L30" s="433">
        <f t="shared" si="17"/>
        <v>0</v>
      </c>
      <c r="Z30" s="362" t="s">
        <v>374</v>
      </c>
      <c r="AA30" s="548">
        <f>D16</f>
        <v>0</v>
      </c>
    </row>
    <row r="31" spans="1:28" customFormat="1" ht="18" customHeight="1" x14ac:dyDescent="0.25">
      <c r="B31" s="1" t="s">
        <v>700</v>
      </c>
      <c r="C31" s="409">
        <f t="shared" si="13"/>
        <v>0</v>
      </c>
      <c r="D31" s="409">
        <f t="shared" si="14"/>
        <v>0</v>
      </c>
      <c r="E31" s="450"/>
      <c r="F31" s="451"/>
      <c r="G31" s="450"/>
      <c r="H31" s="411">
        <f t="shared" si="15"/>
        <v>0</v>
      </c>
      <c r="I31" s="433">
        <f t="shared" si="16"/>
        <v>0</v>
      </c>
      <c r="J31" s="549">
        <v>0</v>
      </c>
      <c r="K31" s="549">
        <v>0</v>
      </c>
      <c r="L31" s="433">
        <f t="shared" si="17"/>
        <v>0</v>
      </c>
      <c r="Z31" s="362" t="s">
        <v>868</v>
      </c>
      <c r="AA31" s="256">
        <v>200</v>
      </c>
    </row>
    <row r="32" spans="1:28" customFormat="1" ht="18" customHeight="1" x14ac:dyDescent="0.25">
      <c r="B32" s="1" t="s">
        <v>701</v>
      </c>
      <c r="C32" s="409">
        <f t="shared" si="13"/>
        <v>0</v>
      </c>
      <c r="D32" s="409">
        <f t="shared" si="14"/>
        <v>0</v>
      </c>
      <c r="E32" s="450"/>
      <c r="F32" s="451"/>
      <c r="G32" s="450"/>
      <c r="H32" s="411">
        <f t="shared" si="15"/>
        <v>0</v>
      </c>
      <c r="I32" s="433">
        <f t="shared" si="16"/>
        <v>0</v>
      </c>
      <c r="J32" s="549">
        <v>0</v>
      </c>
      <c r="K32" s="549">
        <v>0</v>
      </c>
      <c r="L32" s="433">
        <f t="shared" si="17"/>
        <v>0</v>
      </c>
      <c r="Z32" s="362" t="s">
        <v>869</v>
      </c>
      <c r="AA32" s="257">
        <v>2</v>
      </c>
    </row>
    <row r="33" spans="1:38" customFormat="1" ht="18" customHeight="1" x14ac:dyDescent="0.25">
      <c r="B33" s="1" t="s">
        <v>702</v>
      </c>
      <c r="C33" s="409">
        <f t="shared" si="13"/>
        <v>0</v>
      </c>
      <c r="D33" s="409">
        <f t="shared" si="14"/>
        <v>0</v>
      </c>
      <c r="E33" s="450"/>
      <c r="F33" s="451"/>
      <c r="G33" s="450"/>
      <c r="H33" s="411">
        <f t="shared" si="15"/>
        <v>0</v>
      </c>
      <c r="I33" s="433">
        <f t="shared" si="16"/>
        <v>0</v>
      </c>
      <c r="J33" s="549">
        <v>0</v>
      </c>
      <c r="K33" s="549">
        <v>0</v>
      </c>
      <c r="L33" s="433">
        <f t="shared" si="17"/>
        <v>0</v>
      </c>
      <c r="Z33" s="362" t="s">
        <v>870</v>
      </c>
      <c r="AA33" s="256">
        <v>28</v>
      </c>
    </row>
    <row r="34" spans="1:38" customFormat="1" ht="18" customHeight="1" x14ac:dyDescent="0.25">
      <c r="B34" s="1" t="s">
        <v>703</v>
      </c>
      <c r="C34" s="409">
        <f t="shared" si="13"/>
        <v>0</v>
      </c>
      <c r="D34" s="409">
        <f t="shared" si="14"/>
        <v>0</v>
      </c>
      <c r="E34" s="450"/>
      <c r="F34" s="451"/>
      <c r="G34" s="450"/>
      <c r="H34" s="411">
        <f t="shared" si="15"/>
        <v>0</v>
      </c>
      <c r="I34" s="433">
        <f t="shared" si="16"/>
        <v>0</v>
      </c>
      <c r="J34" s="549">
        <v>0</v>
      </c>
      <c r="K34" s="549">
        <v>0</v>
      </c>
      <c r="L34" s="433">
        <f t="shared" si="17"/>
        <v>0</v>
      </c>
      <c r="Z34" s="362" t="s">
        <v>993</v>
      </c>
      <c r="AA34" s="411">
        <f>IF(AA30&gt;0,AA30*AA31*AA32/AA33,0)</f>
        <v>0</v>
      </c>
    </row>
    <row r="35" spans="1:38" customFormat="1" ht="18" customHeight="1" thickBot="1" x14ac:dyDescent="0.3">
      <c r="B35" s="419"/>
      <c r="C35" s="419"/>
      <c r="D35" s="419"/>
      <c r="E35" s="419"/>
      <c r="F35" s="419"/>
      <c r="G35" s="419"/>
      <c r="H35" s="440">
        <f>SUM(H29:H34)</f>
        <v>0</v>
      </c>
      <c r="I35" s="419"/>
      <c r="J35" s="440">
        <f>SUM(J29:J34)</f>
        <v>0</v>
      </c>
      <c r="K35" s="419"/>
      <c r="L35" s="440">
        <f>SUM(L29:L34)</f>
        <v>0</v>
      </c>
      <c r="Z35" s="362" t="s">
        <v>871</v>
      </c>
      <c r="AA35" s="433">
        <f>IF(AA30&gt;0,AA34/AA30,0)</f>
        <v>0</v>
      </c>
    </row>
    <row r="36" spans="1:38" customFormat="1" ht="18" customHeight="1" thickTop="1" x14ac:dyDescent="0.2"/>
    <row r="37" spans="1:38" customFormat="1" ht="18" customHeight="1" x14ac:dyDescent="0.2"/>
    <row r="38" spans="1:38" customFormat="1" ht="18" customHeight="1" x14ac:dyDescent="0.25">
      <c r="B38" s="5" t="s">
        <v>392</v>
      </c>
      <c r="C38" s="1"/>
      <c r="D38" s="1"/>
      <c r="E38" s="1"/>
      <c r="F38" s="1"/>
      <c r="G38" s="1"/>
      <c r="H38" s="1"/>
      <c r="I38" s="1"/>
      <c r="J38" s="1"/>
      <c r="K38" s="1"/>
      <c r="L38" s="419"/>
      <c r="M38" s="419"/>
      <c r="N38" s="419"/>
      <c r="O38" s="419"/>
      <c r="P38" s="419"/>
    </row>
    <row r="39" spans="1:38" ht="18" customHeight="1" x14ac:dyDescent="0.2">
      <c r="A39" s="1"/>
      <c r="B39" s="1"/>
      <c r="C39" s="1"/>
      <c r="D39" s="1"/>
      <c r="E39" s="1"/>
      <c r="F39" s="1"/>
      <c r="G39" s="1"/>
      <c r="H39" s="1"/>
      <c r="I39" s="1"/>
      <c r="J39" s="1"/>
      <c r="K39" s="1"/>
      <c r="Q39" s="1"/>
      <c r="R39" s="1"/>
      <c r="S39" s="1"/>
      <c r="T39" s="1"/>
      <c r="U39" s="1"/>
      <c r="V39" s="1"/>
      <c r="W39" s="1"/>
      <c r="X39" s="1"/>
      <c r="AA39" s="419"/>
    </row>
    <row r="40" spans="1:38" ht="28.5" customHeight="1" x14ac:dyDescent="0.2">
      <c r="A40" s="1"/>
      <c r="B40" s="1"/>
      <c r="C40" s="407" t="s">
        <v>720</v>
      </c>
      <c r="D40" s="408" t="s">
        <v>883</v>
      </c>
      <c r="E40" s="408" t="s">
        <v>884</v>
      </c>
      <c r="F40" s="408" t="s">
        <v>885</v>
      </c>
      <c r="G40" s="408" t="s">
        <v>886</v>
      </c>
      <c r="H40" s="408" t="s">
        <v>887</v>
      </c>
      <c r="I40" s="408" t="s">
        <v>888</v>
      </c>
      <c r="J40" s="408" t="s">
        <v>889</v>
      </c>
      <c r="K40" s="408" t="s">
        <v>395</v>
      </c>
      <c r="L40" s="408" t="s">
        <v>337</v>
      </c>
      <c r="M40" s="408" t="s">
        <v>993</v>
      </c>
      <c r="X40" s="1"/>
      <c r="Y40" s="1"/>
      <c r="AA40" s="419"/>
    </row>
    <row r="41" spans="1:38" ht="18" customHeight="1" x14ac:dyDescent="0.2">
      <c r="A41" s="1"/>
      <c r="B41" s="1" t="s">
        <v>698</v>
      </c>
      <c r="C41" s="409">
        <f t="shared" ref="C41:C46" si="18">D16</f>
        <v>0</v>
      </c>
      <c r="D41" s="410"/>
      <c r="E41" s="410"/>
      <c r="F41" s="410"/>
      <c r="G41" s="410"/>
      <c r="H41" s="410"/>
      <c r="I41" s="410"/>
      <c r="J41" s="410"/>
      <c r="K41" s="410"/>
      <c r="L41" s="410"/>
      <c r="M41" s="411">
        <f t="shared" ref="M41:M46" si="19">SUM(D41:L41)*C41</f>
        <v>0</v>
      </c>
      <c r="X41" s="1"/>
      <c r="AA41" s="419"/>
      <c r="AB41" s="419"/>
      <c r="AC41" s="419"/>
      <c r="AD41" s="419"/>
      <c r="AE41" s="419"/>
      <c r="AF41" s="419"/>
    </row>
    <row r="42" spans="1:38" ht="18" customHeight="1" x14ac:dyDescent="0.2">
      <c r="A42" s="1"/>
      <c r="B42" s="1" t="s">
        <v>699</v>
      </c>
      <c r="C42" s="409">
        <f t="shared" si="18"/>
        <v>0</v>
      </c>
      <c r="D42" s="410"/>
      <c r="E42" s="410"/>
      <c r="F42" s="410"/>
      <c r="G42" s="410"/>
      <c r="H42" s="410"/>
      <c r="I42" s="410"/>
      <c r="J42" s="410"/>
      <c r="K42" s="410"/>
      <c r="L42" s="410"/>
      <c r="M42" s="411">
        <f t="shared" si="19"/>
        <v>0</v>
      </c>
      <c r="X42" s="1"/>
      <c r="AA42" s="419"/>
      <c r="AB42" s="419"/>
      <c r="AC42" s="419"/>
      <c r="AD42" s="419"/>
      <c r="AE42" s="419"/>
      <c r="AF42" s="419"/>
    </row>
    <row r="43" spans="1:38" ht="18" customHeight="1" x14ac:dyDescent="0.2">
      <c r="A43" s="1"/>
      <c r="B43" s="1" t="s">
        <v>700</v>
      </c>
      <c r="C43" s="409">
        <f t="shared" si="18"/>
        <v>0</v>
      </c>
      <c r="D43" s="410"/>
      <c r="E43" s="410"/>
      <c r="F43" s="410"/>
      <c r="G43" s="410"/>
      <c r="H43" s="410"/>
      <c r="I43" s="410"/>
      <c r="J43" s="410"/>
      <c r="K43" s="410"/>
      <c r="L43" s="410"/>
      <c r="M43" s="411">
        <f t="shared" si="19"/>
        <v>0</v>
      </c>
      <c r="X43" s="1"/>
      <c r="AA43" s="419"/>
      <c r="AB43" s="419"/>
      <c r="AC43" s="419"/>
      <c r="AD43" s="419"/>
      <c r="AE43" s="419"/>
      <c r="AF43" s="419"/>
    </row>
    <row r="44" spans="1:38" ht="18" customHeight="1" x14ac:dyDescent="0.2">
      <c r="A44" s="1"/>
      <c r="B44" s="1" t="s">
        <v>701</v>
      </c>
      <c r="C44" s="409">
        <f t="shared" si="18"/>
        <v>0</v>
      </c>
      <c r="D44" s="410"/>
      <c r="E44" s="410"/>
      <c r="F44" s="410"/>
      <c r="G44" s="410"/>
      <c r="H44" s="410"/>
      <c r="I44" s="410"/>
      <c r="J44" s="410"/>
      <c r="K44" s="410"/>
      <c r="L44" s="410"/>
      <c r="M44" s="411">
        <f t="shared" si="19"/>
        <v>0</v>
      </c>
      <c r="X44" s="1"/>
      <c r="AA44" s="419"/>
      <c r="AB44" s="419"/>
      <c r="AC44" s="419"/>
      <c r="AD44" s="419"/>
      <c r="AE44" s="419"/>
      <c r="AF44" s="419"/>
    </row>
    <row r="45" spans="1:38" ht="18" customHeight="1" x14ac:dyDescent="0.2">
      <c r="A45" s="1"/>
      <c r="B45" s="1" t="s">
        <v>702</v>
      </c>
      <c r="C45" s="409">
        <f t="shared" si="18"/>
        <v>0</v>
      </c>
      <c r="D45" s="410"/>
      <c r="E45" s="410"/>
      <c r="F45" s="410"/>
      <c r="G45" s="410"/>
      <c r="H45" s="410"/>
      <c r="I45" s="410"/>
      <c r="J45" s="410"/>
      <c r="K45" s="410"/>
      <c r="L45" s="410"/>
      <c r="M45" s="411">
        <f t="shared" si="19"/>
        <v>0</v>
      </c>
      <c r="X45" s="1"/>
      <c r="AA45" s="419"/>
      <c r="AB45" s="419"/>
      <c r="AC45" s="419"/>
      <c r="AD45" s="419"/>
      <c r="AE45" s="419"/>
      <c r="AF45" s="419"/>
      <c r="AL45" s="444"/>
    </row>
    <row r="46" spans="1:38" ht="18" customHeight="1" x14ac:dyDescent="0.2">
      <c r="A46" s="1"/>
      <c r="B46" s="1" t="s">
        <v>703</v>
      </c>
      <c r="C46" s="409">
        <f t="shared" si="18"/>
        <v>0</v>
      </c>
      <c r="D46" s="410"/>
      <c r="E46" s="410"/>
      <c r="F46" s="410"/>
      <c r="G46" s="410"/>
      <c r="H46" s="410"/>
      <c r="I46" s="410"/>
      <c r="J46" s="410"/>
      <c r="K46" s="410"/>
      <c r="L46" s="410"/>
      <c r="M46" s="411">
        <f t="shared" si="19"/>
        <v>0</v>
      </c>
      <c r="X46" s="1"/>
      <c r="AA46" s="419"/>
      <c r="AB46" s="419"/>
      <c r="AC46" s="419"/>
      <c r="AD46" s="419"/>
      <c r="AE46" s="419"/>
      <c r="AF46" s="419"/>
      <c r="AK46" s="444"/>
      <c r="AL46" s="444"/>
    </row>
    <row r="47" spans="1:38" ht="18" customHeight="1" x14ac:dyDescent="0.2">
      <c r="A47" s="1"/>
      <c r="B47" s="1"/>
      <c r="C47" s="1"/>
      <c r="D47" s="412">
        <f t="shared" ref="D47:L47" si="20">SUMPRODUCT($C$41:$C$46,D41:D46)</f>
        <v>0</v>
      </c>
      <c r="E47" s="412">
        <f t="shared" si="20"/>
        <v>0</v>
      </c>
      <c r="F47" s="412">
        <f t="shared" si="20"/>
        <v>0</v>
      </c>
      <c r="G47" s="412">
        <f t="shared" si="20"/>
        <v>0</v>
      </c>
      <c r="H47" s="412">
        <f t="shared" si="20"/>
        <v>0</v>
      </c>
      <c r="I47" s="412">
        <f t="shared" si="20"/>
        <v>0</v>
      </c>
      <c r="J47" s="412">
        <f t="shared" si="20"/>
        <v>0</v>
      </c>
      <c r="K47" s="412">
        <f t="shared" si="20"/>
        <v>0</v>
      </c>
      <c r="L47" s="412">
        <f t="shared" si="20"/>
        <v>0</v>
      </c>
      <c r="M47" s="411">
        <f>SUM(M41:M46)</f>
        <v>0</v>
      </c>
      <c r="X47" s="1"/>
      <c r="AA47" s="419"/>
      <c r="AB47" s="419"/>
      <c r="AC47" s="419"/>
      <c r="AD47" s="419"/>
      <c r="AE47" s="419"/>
      <c r="AF47" s="419"/>
      <c r="AK47" s="444"/>
      <c r="AL47" s="444"/>
    </row>
    <row r="48" spans="1:38" ht="18" customHeight="1" x14ac:dyDescent="0.2">
      <c r="A48" s="1"/>
      <c r="Q48" s="1"/>
      <c r="R48" s="1"/>
      <c r="S48" s="1"/>
      <c r="T48" s="1"/>
      <c r="U48" s="1"/>
      <c r="V48" s="1"/>
      <c r="W48" s="1"/>
      <c r="X48" s="1"/>
      <c r="AA48" s="419"/>
      <c r="AB48" s="419"/>
      <c r="AC48" s="419"/>
      <c r="AD48" s="419"/>
      <c r="AE48" s="419"/>
      <c r="AF48" s="419"/>
      <c r="AK48" s="444"/>
      <c r="AL48" s="444"/>
    </row>
    <row r="49" spans="1:38" ht="18" customHeight="1" x14ac:dyDescent="0.2">
      <c r="A49" s="1"/>
      <c r="Q49" s="1"/>
      <c r="R49" s="1"/>
      <c r="S49" s="1"/>
      <c r="T49" s="1"/>
      <c r="U49" s="1"/>
      <c r="V49" s="1"/>
      <c r="W49" s="1"/>
      <c r="X49" s="1"/>
      <c r="AA49" s="419"/>
      <c r="AB49" s="419"/>
      <c r="AC49" s="419"/>
      <c r="AD49" s="419"/>
      <c r="AE49" s="419"/>
      <c r="AF49" s="419"/>
      <c r="AK49" s="444"/>
      <c r="AL49" s="444"/>
    </row>
    <row r="50" spans="1:38" ht="18" customHeight="1" x14ac:dyDescent="0.2">
      <c r="A50" s="1"/>
      <c r="Q50" s="1"/>
      <c r="R50" s="1"/>
      <c r="S50" s="1"/>
      <c r="T50" s="1"/>
      <c r="U50" s="1"/>
      <c r="V50" s="1"/>
      <c r="W50" s="1"/>
      <c r="X50" s="1"/>
      <c r="AA50" s="419"/>
      <c r="AB50" s="419"/>
      <c r="AC50" s="419"/>
      <c r="AD50" s="419"/>
      <c r="AE50" s="419"/>
      <c r="AF50" s="419"/>
      <c r="AK50" s="444"/>
      <c r="AL50" s="444"/>
    </row>
    <row r="51" spans="1:38" ht="18" customHeight="1" x14ac:dyDescent="0.25">
      <c r="A51" s="1"/>
      <c r="B51" s="5" t="s">
        <v>401</v>
      </c>
      <c r="C51"/>
      <c r="D51"/>
      <c r="E51"/>
      <c r="F51"/>
      <c r="G51"/>
      <c r="H51"/>
      <c r="I51"/>
      <c r="J51"/>
      <c r="K51"/>
      <c r="L51"/>
      <c r="M51"/>
      <c r="N51"/>
      <c r="O51"/>
      <c r="P51"/>
      <c r="Q51" s="1"/>
      <c r="R51" s="1"/>
      <c r="S51" s="1"/>
      <c r="T51" s="1"/>
      <c r="U51" s="1"/>
      <c r="V51" s="1"/>
      <c r="W51" s="1"/>
      <c r="X51" s="1"/>
      <c r="AA51" s="419"/>
      <c r="AB51" s="419"/>
      <c r="AC51" s="419"/>
      <c r="AD51" s="419"/>
      <c r="AE51" s="419"/>
      <c r="AF51" s="419"/>
      <c r="AK51" s="444"/>
      <c r="AL51" s="444"/>
    </row>
    <row r="52" spans="1:38" ht="18" customHeight="1" x14ac:dyDescent="0.25">
      <c r="A52" s="1"/>
      <c r="B52" s="5"/>
      <c r="C52" s="1"/>
      <c r="D52" s="1"/>
      <c r="E52" s="1"/>
      <c r="F52" s="1"/>
      <c r="G52" s="1"/>
      <c r="H52" s="1"/>
      <c r="I52" s="1"/>
      <c r="J52" s="1"/>
      <c r="K52" s="1"/>
      <c r="L52" s="1"/>
      <c r="M52" s="1"/>
      <c r="N52" s="1"/>
      <c r="O52" s="1"/>
      <c r="P52" s="1"/>
      <c r="Q52" s="1"/>
      <c r="R52" s="1"/>
      <c r="S52" s="1"/>
      <c r="T52" s="1"/>
      <c r="U52" s="1"/>
      <c r="V52" s="1"/>
      <c r="W52" s="1"/>
      <c r="X52" s="1"/>
      <c r="AA52" s="419"/>
      <c r="AB52" s="419"/>
      <c r="AC52" s="419"/>
      <c r="AD52" s="419"/>
      <c r="AE52" s="419"/>
      <c r="AF52" s="419"/>
      <c r="AK52" s="444"/>
      <c r="AL52" s="444"/>
    </row>
    <row r="53" spans="1:38" ht="30" x14ac:dyDescent="0.2">
      <c r="A53" s="1"/>
      <c r="B53" s="1"/>
      <c r="C53" s="407" t="s">
        <v>704</v>
      </c>
      <c r="D53" s="407" t="s">
        <v>824</v>
      </c>
      <c r="E53" s="407" t="s">
        <v>705</v>
      </c>
      <c r="F53" s="407" t="s">
        <v>378</v>
      </c>
      <c r="G53" s="407" t="s">
        <v>379</v>
      </c>
      <c r="H53" s="407" t="s">
        <v>706</v>
      </c>
      <c r="I53" s="407" t="s">
        <v>380</v>
      </c>
      <c r="J53" s="407" t="s">
        <v>850</v>
      </c>
      <c r="K53" s="407" t="s">
        <v>707</v>
      </c>
      <c r="L53" s="407" t="s">
        <v>708</v>
      </c>
      <c r="M53" s="407" t="s">
        <v>855</v>
      </c>
      <c r="N53" s="407" t="s">
        <v>851</v>
      </c>
      <c r="O53" s="407" t="s">
        <v>856</v>
      </c>
      <c r="Q53" s="1"/>
      <c r="R53" s="1"/>
      <c r="S53" s="1"/>
      <c r="T53" s="1"/>
      <c r="U53" s="1"/>
      <c r="V53" s="1"/>
      <c r="W53" s="1"/>
      <c r="X53" s="1"/>
      <c r="AA53" s="419"/>
      <c r="AB53" s="419"/>
      <c r="AC53" s="419"/>
      <c r="AD53" s="419"/>
      <c r="AE53" s="419"/>
      <c r="AF53" s="419"/>
      <c r="AK53" s="444"/>
      <c r="AL53" s="444"/>
    </row>
    <row r="54" spans="1:38" ht="18" customHeight="1" x14ac:dyDescent="0.2">
      <c r="A54" s="1"/>
      <c r="B54" s="1" t="s">
        <v>698</v>
      </c>
      <c r="C54" s="431"/>
      <c r="D54" s="409">
        <f t="shared" ref="D54:D59" si="21">C54-C16</f>
        <v>0</v>
      </c>
      <c r="E54" s="429"/>
      <c r="F54" s="409">
        <f t="shared" ref="F54:F59" si="22">E54-F16</f>
        <v>0</v>
      </c>
      <c r="G54" s="413">
        <f t="shared" ref="G54:G59" si="23">IF(F54&lt;=0,0,F54/D54)</f>
        <v>0</v>
      </c>
      <c r="H54" s="441"/>
      <c r="I54" s="421">
        <f t="shared" ref="I54:I59" si="24">IF(H54&lt;=0,0,(H54-D16)/D16)</f>
        <v>0</v>
      </c>
      <c r="J54" s="442"/>
      <c r="K54" s="550">
        <f t="shared" ref="K54:K59" si="25">J54*E54</f>
        <v>0</v>
      </c>
      <c r="L54" s="411">
        <f t="shared" ref="L54:L59" si="26">K54*H54</f>
        <v>0</v>
      </c>
      <c r="M54" s="409">
        <f t="shared" ref="M54:M59" si="27">E54*H54</f>
        <v>0</v>
      </c>
      <c r="N54" s="415">
        <v>0.52</v>
      </c>
      <c r="O54" s="409">
        <f t="shared" ref="O54:O59" si="28">N54*M54</f>
        <v>0</v>
      </c>
      <c r="Q54" s="1"/>
      <c r="R54" s="1"/>
      <c r="S54" s="1"/>
      <c r="T54" s="1"/>
      <c r="U54" s="1"/>
      <c r="V54" s="1"/>
      <c r="W54" s="1"/>
      <c r="X54" s="1"/>
      <c r="AA54" s="419"/>
      <c r="AB54" s="419"/>
      <c r="AC54" s="419"/>
      <c r="AD54" s="419"/>
      <c r="AE54" s="419"/>
      <c r="AF54" s="419"/>
      <c r="AK54" s="444"/>
      <c r="AL54" s="444"/>
    </row>
    <row r="55" spans="1:38" ht="18" customHeight="1" x14ac:dyDescent="0.2">
      <c r="A55" s="1"/>
      <c r="B55" s="1" t="s">
        <v>699</v>
      </c>
      <c r="C55" s="431"/>
      <c r="D55" s="409">
        <f t="shared" si="21"/>
        <v>0</v>
      </c>
      <c r="E55" s="429"/>
      <c r="F55" s="409">
        <f t="shared" si="22"/>
        <v>0</v>
      </c>
      <c r="G55" s="413">
        <f t="shared" si="23"/>
        <v>0</v>
      </c>
      <c r="H55" s="435"/>
      <c r="I55" s="421">
        <f t="shared" si="24"/>
        <v>0</v>
      </c>
      <c r="J55" s="442"/>
      <c r="K55" s="550">
        <f t="shared" si="25"/>
        <v>0</v>
      </c>
      <c r="L55" s="411">
        <f t="shared" si="26"/>
        <v>0</v>
      </c>
      <c r="M55" s="409">
        <f t="shared" si="27"/>
        <v>0</v>
      </c>
      <c r="N55" s="415">
        <v>0.52</v>
      </c>
      <c r="O55" s="409">
        <f t="shared" si="28"/>
        <v>0</v>
      </c>
      <c r="Q55" s="1"/>
      <c r="R55" s="1"/>
      <c r="S55" s="1"/>
      <c r="T55" s="1"/>
      <c r="U55" s="1"/>
      <c r="V55" s="1"/>
      <c r="W55" s="1"/>
      <c r="X55" s="1"/>
      <c r="AA55" s="419"/>
      <c r="AB55" s="419"/>
      <c r="AC55" s="419"/>
      <c r="AD55" s="419"/>
      <c r="AE55" s="419"/>
      <c r="AF55" s="419"/>
      <c r="AK55" s="444"/>
      <c r="AL55" s="444"/>
    </row>
    <row r="56" spans="1:38" x14ac:dyDescent="0.2">
      <c r="A56" s="1"/>
      <c r="B56" s="1" t="s">
        <v>700</v>
      </c>
      <c r="C56" s="431"/>
      <c r="D56" s="409">
        <f t="shared" si="21"/>
        <v>0</v>
      </c>
      <c r="E56" s="429"/>
      <c r="F56" s="409">
        <f t="shared" si="22"/>
        <v>0</v>
      </c>
      <c r="G56" s="413">
        <f t="shared" si="23"/>
        <v>0</v>
      </c>
      <c r="H56" s="435"/>
      <c r="I56" s="421">
        <f t="shared" si="24"/>
        <v>0</v>
      </c>
      <c r="J56" s="442"/>
      <c r="K56" s="550">
        <f t="shared" si="25"/>
        <v>0</v>
      </c>
      <c r="L56" s="411">
        <f t="shared" si="26"/>
        <v>0</v>
      </c>
      <c r="M56" s="409">
        <f t="shared" si="27"/>
        <v>0</v>
      </c>
      <c r="N56" s="415">
        <v>0.52</v>
      </c>
      <c r="O56" s="409">
        <f t="shared" si="28"/>
        <v>0</v>
      </c>
      <c r="Q56" s="1"/>
      <c r="R56" s="1"/>
      <c r="S56" s="1"/>
      <c r="T56" s="1"/>
      <c r="U56" s="1"/>
      <c r="V56" s="1"/>
      <c r="W56" s="1"/>
      <c r="X56" s="1"/>
      <c r="AA56" s="419"/>
      <c r="AB56" s="419"/>
      <c r="AC56" s="419"/>
      <c r="AD56" s="419"/>
      <c r="AE56" s="419"/>
      <c r="AF56" s="419"/>
      <c r="AK56" s="444"/>
      <c r="AL56" s="444"/>
    </row>
    <row r="57" spans="1:38" ht="18" customHeight="1" x14ac:dyDescent="0.2">
      <c r="A57" s="1"/>
      <c r="B57" s="1" t="s">
        <v>701</v>
      </c>
      <c r="C57" s="431"/>
      <c r="D57" s="409">
        <f t="shared" si="21"/>
        <v>0</v>
      </c>
      <c r="E57" s="435"/>
      <c r="F57" s="409">
        <f t="shared" si="22"/>
        <v>0</v>
      </c>
      <c r="G57" s="413">
        <f t="shared" si="23"/>
        <v>0</v>
      </c>
      <c r="H57" s="435"/>
      <c r="I57" s="421">
        <f t="shared" si="24"/>
        <v>0</v>
      </c>
      <c r="J57" s="442"/>
      <c r="K57" s="550">
        <f t="shared" si="25"/>
        <v>0</v>
      </c>
      <c r="L57" s="411">
        <f t="shared" si="26"/>
        <v>0</v>
      </c>
      <c r="M57" s="409">
        <f t="shared" si="27"/>
        <v>0</v>
      </c>
      <c r="N57" s="415">
        <v>0.52</v>
      </c>
      <c r="O57" s="409">
        <f t="shared" si="28"/>
        <v>0</v>
      </c>
      <c r="Q57" s="1"/>
      <c r="R57" s="1"/>
      <c r="S57" s="1"/>
      <c r="T57" s="1"/>
      <c r="U57" s="1"/>
      <c r="V57" s="1"/>
      <c r="W57" s="1"/>
      <c r="X57" s="1"/>
      <c r="AA57" s="419"/>
      <c r="AB57" s="419"/>
      <c r="AC57" s="419"/>
      <c r="AD57" s="419"/>
      <c r="AE57" s="419"/>
      <c r="AF57" s="419"/>
      <c r="AK57" s="444"/>
      <c r="AL57" s="444"/>
    </row>
    <row r="58" spans="1:38" ht="18" customHeight="1" x14ac:dyDescent="0.2">
      <c r="A58" s="1"/>
      <c r="B58" s="1" t="s">
        <v>702</v>
      </c>
      <c r="C58" s="431"/>
      <c r="D58" s="409">
        <f t="shared" si="21"/>
        <v>0</v>
      </c>
      <c r="E58" s="435"/>
      <c r="F58" s="409">
        <f t="shared" si="22"/>
        <v>0</v>
      </c>
      <c r="G58" s="413">
        <f t="shared" si="23"/>
        <v>0</v>
      </c>
      <c r="H58" s="435"/>
      <c r="I58" s="421">
        <f t="shared" si="24"/>
        <v>0</v>
      </c>
      <c r="J58" s="442"/>
      <c r="K58" s="550">
        <f t="shared" si="25"/>
        <v>0</v>
      </c>
      <c r="L58" s="411">
        <f t="shared" si="26"/>
        <v>0</v>
      </c>
      <c r="M58" s="409">
        <f t="shared" si="27"/>
        <v>0</v>
      </c>
      <c r="N58" s="415">
        <v>0.52</v>
      </c>
      <c r="O58" s="409">
        <f t="shared" si="28"/>
        <v>0</v>
      </c>
      <c r="Q58" s="1"/>
      <c r="R58" s="1"/>
      <c r="S58" s="1"/>
      <c r="T58" s="1"/>
      <c r="U58" s="1"/>
      <c r="V58" s="1"/>
      <c r="W58" s="1"/>
      <c r="X58" s="1"/>
      <c r="AA58" s="419"/>
      <c r="AB58" s="419"/>
      <c r="AC58" s="419"/>
      <c r="AD58" s="419"/>
      <c r="AE58" s="419"/>
      <c r="AF58" s="419"/>
      <c r="AK58" s="444"/>
      <c r="AL58" s="444"/>
    </row>
    <row r="59" spans="1:38" ht="18" customHeight="1" x14ac:dyDescent="0.2">
      <c r="A59" s="1"/>
      <c r="B59" s="1" t="s">
        <v>703</v>
      </c>
      <c r="C59" s="431"/>
      <c r="D59" s="409">
        <f t="shared" si="21"/>
        <v>0</v>
      </c>
      <c r="E59" s="435"/>
      <c r="F59" s="409">
        <f t="shared" si="22"/>
        <v>0</v>
      </c>
      <c r="G59" s="413">
        <f t="shared" si="23"/>
        <v>0</v>
      </c>
      <c r="H59" s="435"/>
      <c r="I59" s="421">
        <f t="shared" si="24"/>
        <v>0</v>
      </c>
      <c r="J59" s="442"/>
      <c r="K59" s="550">
        <f t="shared" si="25"/>
        <v>0</v>
      </c>
      <c r="L59" s="411">
        <f t="shared" si="26"/>
        <v>0</v>
      </c>
      <c r="M59" s="409">
        <f t="shared" si="27"/>
        <v>0</v>
      </c>
      <c r="N59" s="415">
        <v>0.52</v>
      </c>
      <c r="O59" s="409">
        <f t="shared" si="28"/>
        <v>0</v>
      </c>
      <c r="Q59" s="1"/>
      <c r="R59" s="1"/>
      <c r="S59" s="1"/>
      <c r="T59" s="1"/>
      <c r="U59" s="1"/>
      <c r="V59" s="1"/>
      <c r="W59" s="1"/>
      <c r="X59" s="1"/>
      <c r="AA59" s="419"/>
      <c r="AB59" s="419"/>
      <c r="AC59" s="419"/>
      <c r="AD59" s="419"/>
      <c r="AE59" s="419"/>
      <c r="AF59" s="419"/>
      <c r="AK59" s="444"/>
      <c r="AL59" s="444"/>
    </row>
    <row r="60" spans="1:38" ht="18" customHeight="1" thickBot="1" x14ac:dyDescent="0.25">
      <c r="A60" s="1"/>
      <c r="B60" s="1"/>
      <c r="C60" s="1"/>
      <c r="D60" s="1"/>
      <c r="E60" s="439">
        <f>SUMPRODUCT(E54:E59,H54:H59)</f>
        <v>0</v>
      </c>
      <c r="F60" s="1"/>
      <c r="G60" s="1"/>
      <c r="I60" s="1"/>
      <c r="J60" s="1"/>
      <c r="K60" s="1" t="s">
        <v>993</v>
      </c>
      <c r="L60" s="440">
        <f>SUM(L54:L59)</f>
        <v>0</v>
      </c>
      <c r="M60" s="439">
        <f>SUM(M54:M59)</f>
        <v>0</v>
      </c>
      <c r="O60" s="439">
        <f>SUM(O54:O59)</f>
        <v>0</v>
      </c>
      <c r="Q60" s="1"/>
      <c r="R60" s="1"/>
      <c r="S60" s="1"/>
      <c r="T60" s="1"/>
      <c r="U60" s="1"/>
      <c r="V60" s="1"/>
      <c r="W60" s="1"/>
      <c r="X60" s="1"/>
      <c r="AA60" s="419"/>
      <c r="AB60" s="419"/>
      <c r="AC60" s="419"/>
      <c r="AD60" s="419"/>
      <c r="AE60" s="419"/>
      <c r="AF60" s="419"/>
      <c r="AK60" s="444"/>
      <c r="AL60" s="444"/>
    </row>
    <row r="61" spans="1:38" ht="18" customHeight="1" thickTop="1" x14ac:dyDescent="0.2">
      <c r="A61" s="1"/>
      <c r="B61" s="1"/>
      <c r="C61" s="1"/>
      <c r="D61" s="1"/>
      <c r="E61" s="1"/>
      <c r="F61" s="1"/>
      <c r="G61" s="1"/>
      <c r="H61" s="1"/>
      <c r="I61" s="1"/>
      <c r="J61" s="1"/>
      <c r="K61" s="1"/>
      <c r="L61" s="12" t="s">
        <v>562</v>
      </c>
      <c r="M61" s="481">
        <f>F22</f>
        <v>0</v>
      </c>
      <c r="N61" s="1"/>
      <c r="O61" s="481" t="e">
        <f>M61*O60/M60</f>
        <v>#DIV/0!</v>
      </c>
      <c r="P61" s="1"/>
      <c r="Q61" s="1"/>
      <c r="R61" s="1"/>
      <c r="S61" s="1"/>
      <c r="T61" s="1"/>
      <c r="U61" s="1"/>
      <c r="V61" s="1"/>
      <c r="W61" s="1"/>
      <c r="X61" s="1"/>
      <c r="AA61" s="419"/>
      <c r="AB61" s="419"/>
      <c r="AC61" s="419"/>
      <c r="AD61" s="419"/>
      <c r="AE61" s="419"/>
      <c r="AF61" s="419"/>
      <c r="AK61" s="444"/>
      <c r="AL61" s="444"/>
    </row>
    <row r="62" spans="1:38" ht="18" customHeight="1" x14ac:dyDescent="0.25">
      <c r="A62" s="1"/>
      <c r="L62" s="547" t="s">
        <v>381</v>
      </c>
      <c r="M62" s="247">
        <f>M60-M61</f>
        <v>0</v>
      </c>
      <c r="N62" t="s">
        <v>382</v>
      </c>
      <c r="O62" s="247" t="e">
        <f>O60-O61</f>
        <v>#DIV/0!</v>
      </c>
      <c r="P62" s="1" t="s">
        <v>383</v>
      </c>
      <c r="Q62" s="1"/>
      <c r="R62" s="1"/>
      <c r="S62" s="1"/>
      <c r="T62" s="1"/>
      <c r="U62" s="1"/>
      <c r="V62" s="1"/>
      <c r="W62" s="1"/>
      <c r="X62" s="1"/>
      <c r="AA62" s="419"/>
      <c r="AB62" s="419"/>
      <c r="AC62" s="419"/>
      <c r="AD62" s="419"/>
      <c r="AE62" s="419"/>
      <c r="AF62" s="419"/>
      <c r="AK62" s="444"/>
      <c r="AL62" s="444"/>
    </row>
    <row r="63" spans="1:38" ht="18" customHeight="1" x14ac:dyDescent="0.25">
      <c r="A63" s="1"/>
      <c r="B63" s="446"/>
      <c r="L63" s="245"/>
      <c r="M63"/>
      <c r="N63"/>
      <c r="O63"/>
      <c r="P63" s="1"/>
      <c r="Q63" s="1"/>
      <c r="R63" s="1"/>
      <c r="S63" s="1"/>
      <c r="T63" s="1"/>
      <c r="U63" s="1"/>
      <c r="V63" s="1"/>
      <c r="W63" s="1"/>
      <c r="X63" s="1"/>
      <c r="AA63" s="419"/>
      <c r="AB63" s="419"/>
      <c r="AC63" s="419"/>
      <c r="AD63" s="419"/>
      <c r="AE63" s="419"/>
      <c r="AF63" s="419"/>
      <c r="AK63" s="444"/>
      <c r="AL63" s="444"/>
    </row>
    <row r="64" spans="1:38" ht="18" customHeight="1" x14ac:dyDescent="0.25">
      <c r="A64" s="1"/>
      <c r="B64" s="446"/>
      <c r="L64" s="245"/>
      <c r="M64"/>
      <c r="N64"/>
      <c r="O64"/>
      <c r="P64" s="1"/>
      <c r="Q64" s="1"/>
      <c r="R64" s="1"/>
      <c r="S64" s="1"/>
      <c r="T64" s="1"/>
      <c r="U64" s="1"/>
      <c r="V64" s="1"/>
      <c r="W64" s="1"/>
      <c r="X64" s="1"/>
      <c r="AA64" s="419"/>
      <c r="AB64" s="419"/>
      <c r="AC64" s="419"/>
      <c r="AD64" s="419"/>
      <c r="AE64" s="419"/>
      <c r="AF64" s="419"/>
      <c r="AK64" s="444"/>
      <c r="AL64" s="444"/>
    </row>
    <row r="65" spans="1:38" ht="18" customHeight="1" x14ac:dyDescent="0.25">
      <c r="A65" s="1"/>
      <c r="B65" s="446"/>
      <c r="L65" s="245"/>
      <c r="M65"/>
      <c r="N65"/>
      <c r="O65"/>
      <c r="P65" s="1"/>
      <c r="Q65" s="1"/>
      <c r="R65" s="1"/>
      <c r="S65" s="1"/>
      <c r="T65" s="1"/>
      <c r="U65" s="1"/>
      <c r="V65" s="1"/>
      <c r="W65" s="1"/>
      <c r="X65" s="1"/>
      <c r="AA65" s="419"/>
      <c r="AB65" s="419"/>
      <c r="AC65" s="419"/>
      <c r="AD65" s="419"/>
      <c r="AE65" s="419"/>
      <c r="AF65" s="419"/>
      <c r="AK65" s="444"/>
      <c r="AL65" s="444"/>
    </row>
    <row r="66" spans="1:38" ht="18" customHeight="1" x14ac:dyDescent="0.25">
      <c r="A66" s="1"/>
      <c r="B66" s="446" t="s">
        <v>561</v>
      </c>
      <c r="L66" s="245"/>
      <c r="M66"/>
      <c r="N66"/>
      <c r="O66"/>
      <c r="P66" s="1"/>
      <c r="Q66" s="1"/>
      <c r="R66" s="1"/>
      <c r="S66" s="1"/>
      <c r="T66" s="1"/>
      <c r="U66" s="1"/>
      <c r="V66" s="1"/>
      <c r="W66" s="1"/>
      <c r="X66" s="1"/>
      <c r="AA66" s="419"/>
      <c r="AB66" s="419"/>
      <c r="AC66" s="419"/>
      <c r="AD66" s="419"/>
      <c r="AE66" s="419"/>
      <c r="AF66" s="419"/>
      <c r="AK66" s="444"/>
      <c r="AL66" s="444"/>
    </row>
    <row r="67" spans="1:38" ht="18" customHeight="1" x14ac:dyDescent="0.2">
      <c r="A67" s="1"/>
      <c r="M67" s="1"/>
      <c r="N67" s="1"/>
      <c r="O67" s="1"/>
      <c r="P67" s="1"/>
      <c r="Q67" s="1"/>
      <c r="R67" s="1"/>
      <c r="S67" s="1"/>
      <c r="T67" s="1"/>
      <c r="U67" s="1"/>
      <c r="V67" s="1"/>
      <c r="W67" s="1"/>
      <c r="X67" s="1"/>
      <c r="AA67" s="419"/>
      <c r="AB67" s="419"/>
      <c r="AC67" s="419"/>
      <c r="AD67" s="419"/>
      <c r="AE67" s="419"/>
      <c r="AF67" s="419"/>
      <c r="AK67" s="444"/>
      <c r="AL67" s="444"/>
    </row>
    <row r="68" spans="1:38" ht="33" customHeight="1" x14ac:dyDescent="0.2">
      <c r="A68" s="1"/>
      <c r="C68" s="407" t="s">
        <v>709</v>
      </c>
      <c r="D68" s="407" t="s">
        <v>710</v>
      </c>
      <c r="E68" s="407" t="s">
        <v>711</v>
      </c>
      <c r="F68" s="407" t="s">
        <v>712</v>
      </c>
      <c r="G68" s="407" t="s">
        <v>713</v>
      </c>
      <c r="H68" s="407" t="s">
        <v>714</v>
      </c>
      <c r="I68" s="407" t="s">
        <v>715</v>
      </c>
      <c r="J68" s="407" t="s">
        <v>716</v>
      </c>
      <c r="K68" s="407" t="s">
        <v>717</v>
      </c>
      <c r="L68" s="407" t="s">
        <v>718</v>
      </c>
      <c r="M68" s="407" t="s">
        <v>719</v>
      </c>
      <c r="O68" s="1"/>
      <c r="P68" s="1"/>
      <c r="Q68" s="1"/>
      <c r="R68" s="1"/>
      <c r="S68" s="1"/>
      <c r="T68" s="1"/>
      <c r="U68" s="1"/>
      <c r="V68" s="1"/>
      <c r="W68" s="1"/>
      <c r="X68" s="1"/>
      <c r="AA68" s="419"/>
      <c r="AB68" s="419"/>
      <c r="AC68" s="419"/>
      <c r="AD68" s="419"/>
      <c r="AE68" s="419"/>
      <c r="AF68" s="419"/>
      <c r="AK68" s="444"/>
      <c r="AL68" s="444"/>
    </row>
    <row r="69" spans="1:38" ht="18" customHeight="1" x14ac:dyDescent="0.2">
      <c r="A69" s="1"/>
      <c r="B69" s="419" t="str">
        <f t="shared" ref="B69:B74" si="29">B54</f>
        <v>Mob 1</v>
      </c>
      <c r="C69" s="448"/>
      <c r="D69" s="411">
        <f t="shared" ref="D69:D74" si="30">C69*L54</f>
        <v>0</v>
      </c>
      <c r="E69" s="449"/>
      <c r="F69" s="449"/>
      <c r="G69" s="449"/>
      <c r="H69" s="411">
        <f t="shared" ref="H69:H74" si="31">(E69*H54)+(F69*H54)+G69</f>
        <v>0</v>
      </c>
      <c r="I69" s="450"/>
      <c r="J69" s="451"/>
      <c r="K69" s="450"/>
      <c r="L69" s="411">
        <f t="shared" ref="L69:L74" si="32">IF(K69=0,0,IF(H54&lt;=0,0,H54*I69*J69/K69))</f>
        <v>0</v>
      </c>
      <c r="M69" s="433">
        <f t="shared" ref="M69:M74" si="33">IF(L69&lt;=0,0,L69/H54)</f>
        <v>0</v>
      </c>
      <c r="O69" s="1"/>
      <c r="P69" s="1"/>
      <c r="Q69" s="1"/>
      <c r="R69" s="1"/>
      <c r="S69" s="1"/>
      <c r="T69" s="1"/>
      <c r="U69" s="1"/>
      <c r="V69" s="1"/>
      <c r="W69" s="1"/>
      <c r="X69" s="1"/>
      <c r="AA69" s="419"/>
      <c r="AB69" s="419"/>
      <c r="AC69" s="419"/>
      <c r="AD69" s="419"/>
      <c r="AE69" s="419"/>
      <c r="AF69" s="419"/>
      <c r="AK69" s="444"/>
      <c r="AL69" s="444"/>
    </row>
    <row r="70" spans="1:38" ht="18" customHeight="1" x14ac:dyDescent="0.2">
      <c r="A70" s="1"/>
      <c r="B70" s="419" t="str">
        <f t="shared" si="29"/>
        <v>Mob 2</v>
      </c>
      <c r="C70" s="448"/>
      <c r="D70" s="411">
        <f t="shared" si="30"/>
        <v>0</v>
      </c>
      <c r="E70" s="449"/>
      <c r="F70" s="449"/>
      <c r="G70" s="449"/>
      <c r="H70" s="411">
        <f t="shared" si="31"/>
        <v>0</v>
      </c>
      <c r="I70" s="450"/>
      <c r="J70" s="451"/>
      <c r="K70" s="450"/>
      <c r="L70" s="411">
        <f t="shared" si="32"/>
        <v>0</v>
      </c>
      <c r="M70" s="433">
        <f t="shared" si="33"/>
        <v>0</v>
      </c>
      <c r="O70" s="1"/>
      <c r="P70" s="1"/>
      <c r="Q70" s="1"/>
      <c r="R70" s="1"/>
      <c r="S70" s="1"/>
      <c r="T70" s="1"/>
      <c r="U70" s="1"/>
      <c r="V70" s="1"/>
      <c r="W70" s="1"/>
      <c r="X70" s="1"/>
      <c r="AA70" s="419"/>
      <c r="AB70" s="419"/>
      <c r="AC70" s="419"/>
      <c r="AD70" s="419"/>
      <c r="AE70" s="419"/>
      <c r="AF70" s="419"/>
      <c r="AK70" s="444"/>
      <c r="AL70" s="444"/>
    </row>
    <row r="71" spans="1:38" ht="18" customHeight="1" x14ac:dyDescent="0.2">
      <c r="A71" s="1"/>
      <c r="B71" s="419" t="str">
        <f t="shared" si="29"/>
        <v>Mob 3</v>
      </c>
      <c r="C71" s="448"/>
      <c r="D71" s="411">
        <f t="shared" si="30"/>
        <v>0</v>
      </c>
      <c r="E71" s="449"/>
      <c r="F71" s="449"/>
      <c r="G71" s="449"/>
      <c r="H71" s="411">
        <f t="shared" si="31"/>
        <v>0</v>
      </c>
      <c r="I71" s="450"/>
      <c r="J71" s="451"/>
      <c r="K71" s="450"/>
      <c r="L71" s="411">
        <f t="shared" si="32"/>
        <v>0</v>
      </c>
      <c r="M71" s="433">
        <f t="shared" si="33"/>
        <v>0</v>
      </c>
      <c r="O71" s="1"/>
      <c r="P71" s="1"/>
      <c r="Q71" s="1"/>
      <c r="R71" s="1"/>
      <c r="S71" s="1"/>
      <c r="T71" s="1"/>
      <c r="U71" s="1"/>
      <c r="V71" s="1"/>
      <c r="W71" s="1"/>
      <c r="X71" s="1"/>
      <c r="AI71" s="444"/>
      <c r="AJ71" s="444"/>
      <c r="AK71" s="444"/>
      <c r="AL71" s="444"/>
    </row>
    <row r="72" spans="1:38" ht="18" customHeight="1" x14ac:dyDescent="0.2">
      <c r="A72" s="1"/>
      <c r="B72" s="419" t="str">
        <f t="shared" si="29"/>
        <v>Mob 4</v>
      </c>
      <c r="C72" s="448"/>
      <c r="D72" s="411">
        <f t="shared" si="30"/>
        <v>0</v>
      </c>
      <c r="E72" s="449"/>
      <c r="F72" s="449"/>
      <c r="G72" s="449"/>
      <c r="H72" s="411">
        <f t="shared" si="31"/>
        <v>0</v>
      </c>
      <c r="I72" s="450"/>
      <c r="J72" s="451"/>
      <c r="K72" s="450"/>
      <c r="L72" s="411">
        <f t="shared" si="32"/>
        <v>0</v>
      </c>
      <c r="M72" s="433">
        <f t="shared" si="33"/>
        <v>0</v>
      </c>
      <c r="O72" s="1"/>
      <c r="P72" s="1"/>
      <c r="Q72" s="1"/>
      <c r="R72" s="1"/>
      <c r="S72" s="1"/>
      <c r="T72" s="1"/>
      <c r="U72" s="1"/>
      <c r="V72" s="1"/>
      <c r="W72" s="1"/>
      <c r="X72" s="1"/>
      <c r="AI72" s="444"/>
      <c r="AJ72" s="444"/>
      <c r="AK72" s="444"/>
      <c r="AL72" s="444"/>
    </row>
    <row r="73" spans="1:38" ht="18" customHeight="1" x14ac:dyDescent="0.2">
      <c r="A73" s="1"/>
      <c r="B73" s="419" t="str">
        <f t="shared" si="29"/>
        <v>Mob 5</v>
      </c>
      <c r="C73" s="448"/>
      <c r="D73" s="411">
        <f t="shared" si="30"/>
        <v>0</v>
      </c>
      <c r="E73" s="449"/>
      <c r="F73" s="449"/>
      <c r="G73" s="449"/>
      <c r="H73" s="411">
        <f t="shared" si="31"/>
        <v>0</v>
      </c>
      <c r="I73" s="450"/>
      <c r="J73" s="451"/>
      <c r="K73" s="450"/>
      <c r="L73" s="411">
        <f t="shared" si="32"/>
        <v>0</v>
      </c>
      <c r="M73" s="433">
        <f t="shared" si="33"/>
        <v>0</v>
      </c>
      <c r="O73" s="1"/>
      <c r="P73" s="1"/>
      <c r="Q73" s="1"/>
      <c r="R73" s="1"/>
      <c r="S73" s="1"/>
      <c r="T73" s="1"/>
      <c r="U73" s="1"/>
      <c r="V73" s="1"/>
      <c r="W73" s="1"/>
      <c r="X73" s="1"/>
      <c r="Y73"/>
      <c r="Z73"/>
      <c r="AA73"/>
      <c r="AB73"/>
      <c r="AC73"/>
      <c r="AD73"/>
      <c r="AE73"/>
      <c r="AF73"/>
      <c r="AI73" s="444"/>
      <c r="AJ73" s="444"/>
      <c r="AK73" s="444"/>
      <c r="AL73" s="444"/>
    </row>
    <row r="74" spans="1:38" ht="18" customHeight="1" x14ac:dyDescent="0.2">
      <c r="A74" s="1"/>
      <c r="B74" s="419" t="str">
        <f t="shared" si="29"/>
        <v>Mob 6</v>
      </c>
      <c r="C74" s="448"/>
      <c r="D74" s="411">
        <f t="shared" si="30"/>
        <v>0</v>
      </c>
      <c r="E74" s="449"/>
      <c r="F74" s="449"/>
      <c r="G74" s="449"/>
      <c r="H74" s="411">
        <f t="shared" si="31"/>
        <v>0</v>
      </c>
      <c r="I74" s="450"/>
      <c r="J74" s="451"/>
      <c r="K74" s="450"/>
      <c r="L74" s="411">
        <f t="shared" si="32"/>
        <v>0</v>
      </c>
      <c r="M74" s="433">
        <f t="shared" si="33"/>
        <v>0</v>
      </c>
      <c r="O74" s="1"/>
      <c r="P74" s="1"/>
      <c r="Q74" s="1"/>
      <c r="R74" s="1"/>
      <c r="S74" s="1"/>
      <c r="T74" s="1"/>
      <c r="U74" s="1"/>
      <c r="V74" s="1"/>
      <c r="W74" s="1"/>
      <c r="X74" s="1"/>
      <c r="Y74"/>
      <c r="Z74"/>
      <c r="AA74"/>
      <c r="AB74"/>
      <c r="AC74"/>
      <c r="AD74"/>
      <c r="AE74"/>
      <c r="AF74"/>
      <c r="AI74" s="444"/>
      <c r="AJ74" s="444"/>
      <c r="AK74" s="444"/>
      <c r="AL74" s="444"/>
    </row>
    <row r="75" spans="1:38" ht="18" customHeight="1" thickBot="1" x14ac:dyDescent="0.25">
      <c r="A75" s="1"/>
      <c r="C75" s="1"/>
      <c r="D75" s="440">
        <f>SUM(D69:D74)</f>
        <v>0</v>
      </c>
      <c r="E75" s="1"/>
      <c r="F75" s="1"/>
      <c r="G75" s="1"/>
      <c r="H75" s="440">
        <f>SUM(H69:H74)</f>
        <v>0</v>
      </c>
      <c r="I75" s="1"/>
      <c r="J75" s="1"/>
      <c r="K75" s="1"/>
      <c r="L75" s="440">
        <f>SUM(L69:L74)</f>
        <v>0</v>
      </c>
      <c r="M75" s="1"/>
      <c r="O75" s="1"/>
      <c r="P75" s="1"/>
      <c r="Q75" s="1"/>
      <c r="R75" s="1"/>
      <c r="S75" s="1"/>
      <c r="T75" s="1"/>
      <c r="U75" s="1"/>
      <c r="V75" s="1"/>
      <c r="W75" s="1"/>
      <c r="X75" s="1"/>
      <c r="Y75"/>
      <c r="Z75"/>
      <c r="AA75"/>
      <c r="AB75"/>
      <c r="AC75"/>
      <c r="AD75"/>
      <c r="AE75"/>
      <c r="AF75"/>
      <c r="AI75" s="444"/>
      <c r="AJ75" s="444"/>
      <c r="AK75" s="444"/>
      <c r="AL75" s="444"/>
    </row>
    <row r="76" spans="1:38" ht="18" customHeight="1" thickTop="1" x14ac:dyDescent="0.2">
      <c r="A76" s="1"/>
      <c r="B76" s="1"/>
      <c r="C76" s="1"/>
      <c r="D76" s="1"/>
      <c r="E76" s="1"/>
      <c r="F76" s="1"/>
      <c r="G76" s="1"/>
      <c r="H76" s="1"/>
      <c r="I76" s="1"/>
      <c r="J76" s="1"/>
      <c r="K76" s="1"/>
      <c r="L76" s="1"/>
      <c r="M76" s="1"/>
      <c r="N76" s="1"/>
      <c r="O76" s="1"/>
      <c r="P76" s="1"/>
      <c r="Q76" s="1"/>
      <c r="R76" s="1"/>
      <c r="S76" s="1"/>
      <c r="T76" s="1"/>
      <c r="U76" s="1"/>
      <c r="V76" s="1"/>
      <c r="W76" s="1"/>
      <c r="X76" s="1"/>
      <c r="Y76"/>
      <c r="Z76"/>
      <c r="AA76"/>
      <c r="AB76"/>
      <c r="AC76"/>
      <c r="AD76"/>
      <c r="AE76"/>
      <c r="AF76"/>
      <c r="AI76" s="444"/>
      <c r="AJ76" s="444"/>
      <c r="AK76" s="444"/>
      <c r="AL76" s="444"/>
    </row>
    <row r="77" spans="1:38" ht="18" customHeight="1" x14ac:dyDescent="0.2">
      <c r="A77" s="1"/>
      <c r="L77" s="1"/>
      <c r="M77" s="1"/>
      <c r="N77" s="1"/>
      <c r="O77" s="1"/>
      <c r="P77" s="1"/>
      <c r="Q77" s="1"/>
      <c r="R77" s="1"/>
      <c r="S77" s="1"/>
      <c r="T77" s="1"/>
      <c r="U77" s="1"/>
      <c r="V77" s="1"/>
      <c r="W77" s="1"/>
      <c r="X77" s="1"/>
      <c r="Y77"/>
      <c r="Z77"/>
      <c r="AA77"/>
      <c r="AB77"/>
      <c r="AC77"/>
      <c r="AD77"/>
      <c r="AE77"/>
      <c r="AF77"/>
      <c r="AI77" s="444"/>
      <c r="AJ77" s="444"/>
      <c r="AK77" s="444"/>
      <c r="AL77" s="444"/>
    </row>
    <row r="78" spans="1:38" ht="18" customHeight="1" x14ac:dyDescent="0.2">
      <c r="A78" s="1"/>
      <c r="B78" s="1"/>
      <c r="C78" s="1"/>
      <c r="D78" s="1"/>
      <c r="E78" s="1"/>
      <c r="F78" s="1"/>
      <c r="G78" s="1"/>
      <c r="H78" s="1"/>
      <c r="I78" s="1"/>
      <c r="J78" s="1"/>
      <c r="K78" s="1"/>
      <c r="L78" s="1"/>
      <c r="M78" s="1"/>
      <c r="N78" s="1"/>
      <c r="O78" s="1"/>
      <c r="P78" s="1"/>
      <c r="Q78" s="1"/>
      <c r="R78" s="1"/>
      <c r="S78" s="1"/>
      <c r="T78" s="1"/>
      <c r="U78" s="1"/>
      <c r="V78" s="1"/>
      <c r="W78" s="1"/>
      <c r="X78" s="1"/>
      <c r="AA78" s="419"/>
      <c r="AB78" s="419"/>
      <c r="AC78" s="419"/>
      <c r="AD78" s="419"/>
      <c r="AE78" s="419"/>
      <c r="AF78" s="419"/>
      <c r="AI78" s="444"/>
      <c r="AJ78" s="444"/>
      <c r="AK78" s="444"/>
      <c r="AL78" s="444"/>
    </row>
    <row r="79" spans="1:38" ht="18" customHeight="1" x14ac:dyDescent="0.25">
      <c r="A79" s="1"/>
      <c r="B79" s="5" t="s">
        <v>396</v>
      </c>
      <c r="C79" s="1"/>
      <c r="D79" s="1"/>
      <c r="E79" s="1"/>
      <c r="F79" s="1"/>
      <c r="G79" s="1"/>
      <c r="H79" s="1"/>
      <c r="I79" s="1"/>
      <c r="J79" s="1"/>
      <c r="K79" s="1"/>
      <c r="L79" s="1"/>
      <c r="M79" s="1"/>
      <c r="N79" s="1"/>
      <c r="O79" s="1"/>
      <c r="P79" s="1"/>
      <c r="Q79" s="1"/>
      <c r="R79" s="1"/>
      <c r="S79" s="1"/>
      <c r="T79" s="1"/>
      <c r="U79" s="1"/>
      <c r="V79" s="1"/>
      <c r="W79" s="1"/>
      <c r="X79" s="1"/>
      <c r="AA79" s="419"/>
      <c r="AB79" s="419"/>
      <c r="AC79" s="419"/>
      <c r="AD79" s="419"/>
      <c r="AE79" s="419"/>
      <c r="AF79" s="419"/>
      <c r="AI79" s="444"/>
      <c r="AJ79" s="444"/>
      <c r="AK79" s="444"/>
      <c r="AL79" s="444"/>
    </row>
    <row r="80" spans="1:38" x14ac:dyDescent="0.2">
      <c r="A80" s="1"/>
      <c r="B80" s="1"/>
      <c r="C80" s="1"/>
      <c r="D80" s="1"/>
      <c r="E80" s="1"/>
      <c r="F80" s="1"/>
      <c r="G80" s="1"/>
      <c r="H80" s="1"/>
      <c r="I80" s="1"/>
      <c r="J80" s="1"/>
      <c r="K80" s="1"/>
      <c r="L80" s="1"/>
      <c r="M80" s="1"/>
      <c r="N80" s="1"/>
      <c r="O80" s="1"/>
      <c r="P80" s="1"/>
      <c r="Q80" s="1"/>
      <c r="R80" s="1"/>
      <c r="S80" s="1"/>
      <c r="T80" s="1"/>
      <c r="U80" s="1"/>
      <c r="V80" s="1"/>
      <c r="W80" s="1"/>
      <c r="X80" s="1"/>
      <c r="AA80" s="419"/>
      <c r="AB80" s="419"/>
      <c r="AC80" s="419"/>
      <c r="AD80" s="419"/>
      <c r="AE80" s="419"/>
      <c r="AF80" s="419"/>
      <c r="AI80" s="444"/>
      <c r="AJ80" s="444"/>
      <c r="AK80" s="444"/>
      <c r="AL80" s="444"/>
    </row>
    <row r="81" spans="1:32" ht="33" customHeight="1" x14ac:dyDescent="0.2">
      <c r="A81" s="1"/>
      <c r="B81" s="1"/>
      <c r="C81" s="408" t="s">
        <v>892</v>
      </c>
      <c r="D81" s="408" t="s">
        <v>721</v>
      </c>
      <c r="E81" s="408" t="s">
        <v>722</v>
      </c>
      <c r="F81" s="408" t="s">
        <v>723</v>
      </c>
      <c r="G81" s="408" t="s">
        <v>724</v>
      </c>
      <c r="H81" s="408" t="s">
        <v>725</v>
      </c>
      <c r="I81" s="1"/>
      <c r="J81" s="1"/>
      <c r="K81" s="1"/>
      <c r="L81" s="1"/>
      <c r="M81" s="1"/>
      <c r="N81" s="1"/>
      <c r="O81" s="1"/>
      <c r="P81" s="1"/>
      <c r="Q81" s="1"/>
      <c r="R81" s="1"/>
      <c r="S81" s="1"/>
      <c r="T81" s="1"/>
      <c r="U81" s="1"/>
      <c r="V81" s="1"/>
      <c r="W81" s="1"/>
      <c r="X81" s="1"/>
      <c r="AA81" s="419"/>
      <c r="AB81" s="419"/>
      <c r="AC81" s="419"/>
      <c r="AD81" s="419"/>
      <c r="AE81" s="419"/>
      <c r="AF81" s="419"/>
    </row>
    <row r="82" spans="1:32" x14ac:dyDescent="0.2">
      <c r="A82" s="1"/>
      <c r="B82" s="1" t="s">
        <v>698</v>
      </c>
      <c r="C82" s="409">
        <f t="shared" ref="C82:C87" si="34">C41</f>
        <v>0</v>
      </c>
      <c r="D82" s="409">
        <f t="shared" ref="D82:D87" si="35">D54</f>
        <v>0</v>
      </c>
      <c r="E82" s="411">
        <f t="shared" ref="E82:E87" si="36">G16</f>
        <v>0</v>
      </c>
      <c r="F82" s="411">
        <f t="shared" ref="F82:F87" si="37">E82*C82</f>
        <v>0</v>
      </c>
      <c r="G82" s="452">
        <v>0.05</v>
      </c>
      <c r="H82" s="411">
        <f t="shared" ref="H82:H87" si="38">F82*G82*D82/365</f>
        <v>0</v>
      </c>
      <c r="I82" s="1"/>
      <c r="J82" s="1"/>
      <c r="K82" s="1"/>
      <c r="L82" s="1"/>
      <c r="M82" s="1"/>
      <c r="N82" s="1"/>
      <c r="O82" s="1"/>
      <c r="P82" s="1"/>
      <c r="Q82" s="1"/>
      <c r="R82" s="1"/>
      <c r="S82" s="1"/>
      <c r="T82" s="1"/>
      <c r="U82" s="1"/>
      <c r="V82" s="1"/>
      <c r="W82" s="1"/>
      <c r="X82" s="1"/>
      <c r="AA82" s="419"/>
      <c r="AB82" s="419"/>
      <c r="AC82" s="419"/>
      <c r="AD82" s="419"/>
      <c r="AE82" s="419"/>
      <c r="AF82" s="419"/>
    </row>
    <row r="83" spans="1:32" x14ac:dyDescent="0.2">
      <c r="A83" s="1"/>
      <c r="B83" s="1" t="s">
        <v>699</v>
      </c>
      <c r="C83" s="409">
        <f t="shared" si="34"/>
        <v>0</v>
      </c>
      <c r="D83" s="409">
        <f t="shared" si="35"/>
        <v>0</v>
      </c>
      <c r="E83" s="411">
        <f t="shared" si="36"/>
        <v>0</v>
      </c>
      <c r="F83" s="411">
        <f t="shared" si="37"/>
        <v>0</v>
      </c>
      <c r="G83" s="452">
        <v>0.05</v>
      </c>
      <c r="H83" s="411">
        <f t="shared" si="38"/>
        <v>0</v>
      </c>
      <c r="I83" s="1"/>
      <c r="J83" s="1"/>
      <c r="K83" s="1"/>
      <c r="L83" s="1"/>
      <c r="M83" s="1"/>
      <c r="N83" s="1"/>
      <c r="O83" s="1"/>
      <c r="P83" s="1"/>
      <c r="Q83" s="1"/>
      <c r="R83" s="1"/>
      <c r="S83" s="1"/>
      <c r="T83" s="1"/>
      <c r="U83" s="1"/>
      <c r="V83" s="1"/>
      <c r="W83" s="1"/>
      <c r="X83" s="1"/>
      <c r="AA83" s="419"/>
      <c r="AB83" s="419"/>
      <c r="AC83" s="419"/>
      <c r="AD83" s="419"/>
      <c r="AE83" s="419"/>
      <c r="AF83" s="419"/>
    </row>
    <row r="84" spans="1:32" x14ac:dyDescent="0.2">
      <c r="A84" s="1"/>
      <c r="B84" s="1" t="s">
        <v>700</v>
      </c>
      <c r="C84" s="409">
        <f t="shared" si="34"/>
        <v>0</v>
      </c>
      <c r="D84" s="409">
        <f t="shared" si="35"/>
        <v>0</v>
      </c>
      <c r="E84" s="411">
        <f t="shared" si="36"/>
        <v>0</v>
      </c>
      <c r="F84" s="411">
        <f t="shared" si="37"/>
        <v>0</v>
      </c>
      <c r="G84" s="452">
        <v>0.05</v>
      </c>
      <c r="H84" s="411">
        <f t="shared" si="38"/>
        <v>0</v>
      </c>
      <c r="I84" s="1"/>
      <c r="J84" s="1"/>
      <c r="K84" s="1"/>
      <c r="L84" s="1"/>
      <c r="M84" s="1"/>
      <c r="N84" s="1"/>
      <c r="O84" s="1"/>
      <c r="P84" s="1"/>
      <c r="Q84" s="1"/>
      <c r="R84" s="1"/>
      <c r="S84" s="1"/>
      <c r="T84" s="1"/>
      <c r="U84" s="1"/>
      <c r="V84" s="1"/>
      <c r="W84" s="1"/>
      <c r="X84" s="1"/>
      <c r="AA84" s="419"/>
      <c r="AB84" s="419"/>
      <c r="AC84" s="419"/>
      <c r="AD84" s="419"/>
      <c r="AE84" s="419"/>
      <c r="AF84" s="419"/>
    </row>
    <row r="85" spans="1:32" x14ac:dyDescent="0.2">
      <c r="A85" s="1"/>
      <c r="B85" s="1" t="s">
        <v>701</v>
      </c>
      <c r="C85" s="409">
        <f t="shared" si="34"/>
        <v>0</v>
      </c>
      <c r="D85" s="409">
        <f t="shared" si="35"/>
        <v>0</v>
      </c>
      <c r="E85" s="411">
        <f t="shared" si="36"/>
        <v>0</v>
      </c>
      <c r="F85" s="411">
        <f t="shared" si="37"/>
        <v>0</v>
      </c>
      <c r="G85" s="452">
        <v>0.05</v>
      </c>
      <c r="H85" s="411">
        <f t="shared" si="38"/>
        <v>0</v>
      </c>
      <c r="I85" s="1"/>
      <c r="J85" s="1"/>
      <c r="K85" s="1"/>
      <c r="L85" s="1"/>
      <c r="M85" s="1"/>
      <c r="N85" s="1"/>
      <c r="O85" s="1"/>
      <c r="P85" s="1"/>
      <c r="Q85" s="1"/>
      <c r="R85" s="1"/>
      <c r="S85" s="1"/>
      <c r="T85" s="1"/>
      <c r="U85" s="1"/>
      <c r="V85" s="1"/>
      <c r="W85" s="1"/>
      <c r="X85" s="1"/>
      <c r="AA85" s="419"/>
      <c r="AB85" s="419"/>
      <c r="AC85" s="419"/>
      <c r="AD85" s="419"/>
      <c r="AE85" s="419"/>
      <c r="AF85" s="419"/>
    </row>
    <row r="86" spans="1:32" x14ac:dyDescent="0.2">
      <c r="A86" s="1"/>
      <c r="B86" s="1" t="s">
        <v>702</v>
      </c>
      <c r="C86" s="409">
        <f t="shared" si="34"/>
        <v>0</v>
      </c>
      <c r="D86" s="409">
        <f t="shared" si="35"/>
        <v>0</v>
      </c>
      <c r="E86" s="411">
        <f t="shared" si="36"/>
        <v>0</v>
      </c>
      <c r="F86" s="411">
        <f t="shared" si="37"/>
        <v>0</v>
      </c>
      <c r="G86" s="452">
        <v>0.05</v>
      </c>
      <c r="H86" s="411">
        <f t="shared" si="38"/>
        <v>0</v>
      </c>
      <c r="I86" s="1"/>
      <c r="J86" s="1"/>
      <c r="K86" s="1"/>
      <c r="L86" s="1"/>
      <c r="M86" s="1"/>
      <c r="N86" s="1"/>
      <c r="O86" s="1"/>
      <c r="P86" s="1"/>
      <c r="Q86" s="1"/>
      <c r="R86" s="1"/>
      <c r="S86" s="1"/>
      <c r="T86" s="1"/>
      <c r="U86" s="1"/>
      <c r="V86" s="1"/>
      <c r="W86" s="1"/>
      <c r="X86" s="1"/>
      <c r="AA86" s="419"/>
      <c r="AB86" s="419"/>
      <c r="AC86" s="419"/>
      <c r="AD86" s="419"/>
      <c r="AE86" s="419"/>
      <c r="AF86" s="419"/>
    </row>
    <row r="87" spans="1:32" x14ac:dyDescent="0.2">
      <c r="A87" s="1"/>
      <c r="B87" s="1" t="s">
        <v>703</v>
      </c>
      <c r="C87" s="409">
        <f t="shared" si="34"/>
        <v>0</v>
      </c>
      <c r="D87" s="409">
        <f t="shared" si="35"/>
        <v>0</v>
      </c>
      <c r="E87" s="411">
        <f t="shared" si="36"/>
        <v>0</v>
      </c>
      <c r="F87" s="411">
        <f t="shared" si="37"/>
        <v>0</v>
      </c>
      <c r="G87" s="452">
        <v>0.05</v>
      </c>
      <c r="H87" s="411">
        <f t="shared" si="38"/>
        <v>0</v>
      </c>
      <c r="I87" s="1"/>
      <c r="J87" s="1"/>
      <c r="K87" s="1"/>
      <c r="L87" s="1"/>
      <c r="M87" s="1"/>
      <c r="N87" s="1"/>
      <c r="O87" s="1"/>
      <c r="P87" s="1"/>
      <c r="Q87" s="1"/>
      <c r="R87" s="1"/>
      <c r="S87" s="1"/>
      <c r="T87" s="1"/>
      <c r="U87" s="1"/>
      <c r="V87" s="1"/>
      <c r="W87" s="1"/>
      <c r="X87" s="1"/>
      <c r="AA87" s="419"/>
      <c r="AB87" s="419"/>
      <c r="AC87" s="419"/>
      <c r="AD87" s="419"/>
      <c r="AE87" s="419"/>
      <c r="AF87" s="419"/>
    </row>
    <row r="88" spans="1:32" ht="15.75" thickBot="1" x14ac:dyDescent="0.25">
      <c r="A88" s="1"/>
      <c r="B88" s="1"/>
      <c r="C88" s="1"/>
      <c r="D88" s="1"/>
      <c r="E88" s="1"/>
      <c r="F88" s="1" t="s">
        <v>726</v>
      </c>
      <c r="G88" s="1"/>
      <c r="H88" s="440">
        <f>SUM(H82:H87)</f>
        <v>0</v>
      </c>
      <c r="I88" s="1"/>
      <c r="J88" s="1"/>
      <c r="K88" s="1"/>
      <c r="L88" s="1"/>
      <c r="M88" s="1"/>
      <c r="N88" s="1"/>
      <c r="O88" s="1"/>
      <c r="P88" s="1"/>
      <c r="Q88" s="1"/>
      <c r="R88" s="1"/>
      <c r="S88" s="1"/>
      <c r="T88" s="1"/>
      <c r="U88" s="1"/>
      <c r="V88" s="1"/>
      <c r="W88" s="1"/>
      <c r="X88" s="1"/>
      <c r="Y88" s="1"/>
      <c r="Z88" s="1"/>
      <c r="AA88" s="6"/>
    </row>
    <row r="89" spans="1:32" ht="15.75" thickTop="1" x14ac:dyDescent="0.2">
      <c r="A89" s="1"/>
      <c r="B89" s="1"/>
      <c r="C89" s="1"/>
      <c r="D89" s="1"/>
      <c r="E89" s="1"/>
      <c r="F89" s="1"/>
      <c r="G89" s="1"/>
      <c r="H89" s="1"/>
      <c r="I89" s="1"/>
      <c r="J89" s="1"/>
      <c r="K89" s="1"/>
      <c r="L89" s="1"/>
      <c r="M89" s="1"/>
      <c r="N89" s="1"/>
      <c r="O89" s="1"/>
      <c r="P89" s="1"/>
      <c r="Q89" s="1"/>
      <c r="R89" s="1"/>
      <c r="S89" s="1"/>
      <c r="T89" s="1"/>
      <c r="U89" s="1"/>
      <c r="V89" s="1"/>
      <c r="W89" s="1"/>
      <c r="X89" s="1"/>
      <c r="Y89" s="1"/>
      <c r="Z89" s="1"/>
      <c r="AA89" s="6"/>
    </row>
    <row r="90" spans="1:32" x14ac:dyDescent="0.2">
      <c r="A90" s="1"/>
      <c r="B90" s="1"/>
      <c r="C90" s="1"/>
      <c r="D90" s="1"/>
      <c r="E90" s="1"/>
      <c r="F90" s="1"/>
      <c r="G90" s="1"/>
      <c r="H90" s="1"/>
      <c r="I90" s="1"/>
      <c r="J90" s="1"/>
      <c r="K90" s="1"/>
      <c r="L90" s="1"/>
      <c r="M90" s="1"/>
      <c r="N90" s="1"/>
      <c r="O90" s="1"/>
      <c r="P90" s="1"/>
      <c r="Q90" s="1"/>
      <c r="R90" s="1"/>
      <c r="S90" s="1"/>
      <c r="T90" s="1"/>
      <c r="U90" s="1"/>
      <c r="V90" s="1"/>
      <c r="W90" s="1"/>
      <c r="X90" s="1"/>
      <c r="Y90" s="1"/>
      <c r="Z90" s="1"/>
      <c r="AA90" s="6"/>
    </row>
    <row r="91" spans="1:32" ht="15.75" x14ac:dyDescent="0.25">
      <c r="A91" s="1"/>
      <c r="B91" s="5" t="s">
        <v>727</v>
      </c>
      <c r="C91" s="1"/>
      <c r="D91" s="1"/>
      <c r="E91" s="1"/>
      <c r="F91" s="1"/>
      <c r="G91" s="1"/>
      <c r="H91" s="1"/>
      <c r="I91" s="1"/>
      <c r="J91" s="1"/>
      <c r="K91" s="1"/>
      <c r="L91" s="1"/>
      <c r="M91" s="1"/>
      <c r="N91" s="1"/>
      <c r="O91" s="1"/>
      <c r="P91" s="1"/>
      <c r="Q91" s="1"/>
      <c r="R91" s="1"/>
      <c r="S91" s="1"/>
      <c r="T91" s="1"/>
      <c r="U91" s="1"/>
      <c r="V91" s="1"/>
      <c r="W91" s="1"/>
      <c r="X91" s="1"/>
      <c r="Y91" s="1"/>
      <c r="Z91" s="1"/>
      <c r="AA91" s="6"/>
    </row>
    <row r="92" spans="1:32" x14ac:dyDescent="0.2">
      <c r="A92" s="1"/>
      <c r="B92" s="1"/>
      <c r="C92" s="1"/>
      <c r="D92" s="1"/>
      <c r="E92" s="1"/>
      <c r="F92" s="1"/>
      <c r="G92" s="1"/>
      <c r="H92" s="1"/>
      <c r="I92" s="1"/>
      <c r="J92" s="1"/>
      <c r="K92" s="1"/>
      <c r="L92" s="1"/>
      <c r="M92" s="1"/>
      <c r="N92" s="1"/>
      <c r="O92" s="1"/>
      <c r="P92" s="1"/>
      <c r="Q92" s="1"/>
      <c r="R92" s="1"/>
      <c r="S92" s="1"/>
      <c r="T92" s="1"/>
      <c r="U92" s="1"/>
      <c r="V92" s="1"/>
      <c r="W92" s="1"/>
      <c r="X92" s="1"/>
      <c r="Y92" s="1"/>
      <c r="Z92" s="1"/>
      <c r="AA92" s="6"/>
    </row>
    <row r="93" spans="1:32" ht="30" x14ac:dyDescent="0.2">
      <c r="A93" s="1"/>
      <c r="B93" s="1"/>
      <c r="C93" s="408" t="s">
        <v>892</v>
      </c>
      <c r="D93" s="408" t="s">
        <v>721</v>
      </c>
      <c r="E93" s="408" t="s">
        <v>728</v>
      </c>
      <c r="F93" s="408" t="s">
        <v>895</v>
      </c>
      <c r="G93" s="408" t="s">
        <v>673</v>
      </c>
      <c r="H93" s="408" t="s">
        <v>731</v>
      </c>
      <c r="I93" s="407" t="s">
        <v>659</v>
      </c>
      <c r="J93" s="407" t="s">
        <v>729</v>
      </c>
      <c r="K93" s="1"/>
      <c r="L93" s="1"/>
      <c r="M93" s="1"/>
      <c r="N93" s="1"/>
      <c r="O93" s="1"/>
      <c r="P93" s="1"/>
      <c r="Q93" s="1"/>
      <c r="R93" s="1"/>
      <c r="S93" s="1"/>
      <c r="T93" s="1"/>
      <c r="U93" s="1"/>
      <c r="V93" s="1"/>
      <c r="W93" s="1"/>
      <c r="X93" s="1"/>
      <c r="Y93" s="1"/>
      <c r="Z93" s="1"/>
      <c r="AA93" s="6"/>
    </row>
    <row r="94" spans="1:32" x14ac:dyDescent="0.2">
      <c r="A94" s="1"/>
      <c r="B94" s="1" t="s">
        <v>698</v>
      </c>
      <c r="C94" s="409">
        <f t="shared" ref="C94:C99" si="39">C41</f>
        <v>0</v>
      </c>
      <c r="D94" s="409">
        <f t="shared" ref="D94:D99" si="40">D54</f>
        <v>0</v>
      </c>
      <c r="E94" s="409">
        <f t="shared" ref="E94:E99" si="41">F16</f>
        <v>0</v>
      </c>
      <c r="F94" s="409">
        <f t="shared" ref="F94:F99" si="42">E54</f>
        <v>0</v>
      </c>
      <c r="G94" s="413">
        <f t="shared" ref="G94:G99" si="43">(POWER(((F94+E94)/2),0.75)/97.7)</f>
        <v>0</v>
      </c>
      <c r="H94" s="413">
        <f t="shared" ref="H94:H99" si="44">D94/365*G94*C94</f>
        <v>0</v>
      </c>
      <c r="I94" s="413">
        <f>IF(D8&lt;=0,0,H94/$D$8)</f>
        <v>0</v>
      </c>
      <c r="J94" s="413">
        <f t="shared" ref="J94:J100" si="45">IF(H94&lt;=0,0,$D$8/H94)</f>
        <v>0</v>
      </c>
      <c r="K94" s="1"/>
      <c r="L94" s="1"/>
      <c r="M94" s="1"/>
      <c r="N94" s="1"/>
      <c r="O94" s="1"/>
      <c r="P94" s="1"/>
      <c r="Q94" s="1"/>
      <c r="R94" s="1"/>
      <c r="S94" s="1"/>
      <c r="T94" s="1"/>
      <c r="U94" s="1"/>
      <c r="V94" s="1"/>
      <c r="W94" s="1"/>
      <c r="X94" s="1"/>
      <c r="Y94" s="1"/>
      <c r="Z94" s="1"/>
      <c r="AA94" s="6"/>
    </row>
    <row r="95" spans="1:32" x14ac:dyDescent="0.2">
      <c r="A95" s="1"/>
      <c r="B95" s="1" t="s">
        <v>699</v>
      </c>
      <c r="C95" s="409">
        <f t="shared" si="39"/>
        <v>0</v>
      </c>
      <c r="D95" s="409">
        <f t="shared" si="40"/>
        <v>0</v>
      </c>
      <c r="E95" s="409">
        <f t="shared" si="41"/>
        <v>0</v>
      </c>
      <c r="F95" s="409">
        <f t="shared" si="42"/>
        <v>0</v>
      </c>
      <c r="G95" s="413">
        <f t="shared" si="43"/>
        <v>0</v>
      </c>
      <c r="H95" s="413">
        <f t="shared" si="44"/>
        <v>0</v>
      </c>
      <c r="I95" s="413">
        <f>IF(D8&lt;=0,0,H95/$D$8)</f>
        <v>0</v>
      </c>
      <c r="J95" s="413">
        <f t="shared" si="45"/>
        <v>0</v>
      </c>
      <c r="K95" s="1"/>
      <c r="L95" s="1"/>
      <c r="M95" s="1"/>
      <c r="N95" s="1"/>
      <c r="O95" s="1"/>
      <c r="P95" s="1"/>
      <c r="Q95" s="1"/>
      <c r="R95" s="1"/>
      <c r="S95" s="1"/>
      <c r="T95" s="1"/>
      <c r="U95" s="1"/>
      <c r="V95" s="1"/>
      <c r="W95" s="1"/>
      <c r="X95" s="1"/>
      <c r="Y95" s="1"/>
      <c r="Z95" s="1"/>
      <c r="AA95" s="6"/>
    </row>
    <row r="96" spans="1:32" x14ac:dyDescent="0.2">
      <c r="A96" s="1"/>
      <c r="B96" s="1" t="s">
        <v>700</v>
      </c>
      <c r="C96" s="409">
        <f t="shared" si="39"/>
        <v>0</v>
      </c>
      <c r="D96" s="409">
        <f t="shared" si="40"/>
        <v>0</v>
      </c>
      <c r="E96" s="409">
        <f t="shared" si="41"/>
        <v>0</v>
      </c>
      <c r="F96" s="409">
        <f t="shared" si="42"/>
        <v>0</v>
      </c>
      <c r="G96" s="413">
        <f t="shared" si="43"/>
        <v>0</v>
      </c>
      <c r="H96" s="413">
        <f t="shared" si="44"/>
        <v>0</v>
      </c>
      <c r="I96" s="413">
        <f>IF(D8&lt;=0,0,H96/$D$8)</f>
        <v>0</v>
      </c>
      <c r="J96" s="413">
        <f t="shared" si="45"/>
        <v>0</v>
      </c>
      <c r="K96" s="1"/>
      <c r="L96" s="1"/>
      <c r="M96" s="1"/>
      <c r="N96" s="1"/>
      <c r="O96" s="1"/>
      <c r="P96" s="1"/>
      <c r="Q96" s="1"/>
      <c r="R96" s="1"/>
      <c r="S96" s="1"/>
      <c r="T96" s="1"/>
      <c r="U96" s="1"/>
      <c r="V96" s="1"/>
      <c r="W96" s="1"/>
      <c r="X96" s="1"/>
      <c r="Y96" s="1"/>
      <c r="Z96" s="1"/>
      <c r="AA96" s="6"/>
    </row>
    <row r="97" spans="1:44" x14ac:dyDescent="0.2">
      <c r="A97" s="1"/>
      <c r="B97" s="1" t="s">
        <v>701</v>
      </c>
      <c r="C97" s="409">
        <f t="shared" si="39"/>
        <v>0</v>
      </c>
      <c r="D97" s="409">
        <f t="shared" si="40"/>
        <v>0</v>
      </c>
      <c r="E97" s="409">
        <f t="shared" si="41"/>
        <v>0</v>
      </c>
      <c r="F97" s="409">
        <f t="shared" si="42"/>
        <v>0</v>
      </c>
      <c r="G97" s="413">
        <f t="shared" si="43"/>
        <v>0</v>
      </c>
      <c r="H97" s="413">
        <f t="shared" si="44"/>
        <v>0</v>
      </c>
      <c r="I97" s="413">
        <f>IF(D8&lt;=0,0,H97/$D$8)</f>
        <v>0</v>
      </c>
      <c r="J97" s="413">
        <f t="shared" si="45"/>
        <v>0</v>
      </c>
      <c r="K97" s="1"/>
      <c r="L97" s="1"/>
      <c r="M97" s="1"/>
      <c r="N97" s="1"/>
      <c r="O97" s="1"/>
      <c r="P97" s="1"/>
      <c r="Q97" s="1"/>
      <c r="R97" s="1"/>
      <c r="S97" s="1"/>
      <c r="T97" s="1"/>
      <c r="U97" s="1"/>
      <c r="V97" s="1"/>
      <c r="W97" s="1"/>
      <c r="X97" s="1"/>
      <c r="Y97" s="1"/>
      <c r="Z97" s="1"/>
      <c r="AA97" s="6"/>
    </row>
    <row r="98" spans="1:44" x14ac:dyDescent="0.2">
      <c r="A98" s="1"/>
      <c r="B98" s="1" t="s">
        <v>702</v>
      </c>
      <c r="C98" s="409">
        <f t="shared" si="39"/>
        <v>0</v>
      </c>
      <c r="D98" s="409">
        <f t="shared" si="40"/>
        <v>0</v>
      </c>
      <c r="E98" s="409">
        <f t="shared" si="41"/>
        <v>0</v>
      </c>
      <c r="F98" s="409">
        <f t="shared" si="42"/>
        <v>0</v>
      </c>
      <c r="G98" s="413">
        <f t="shared" si="43"/>
        <v>0</v>
      </c>
      <c r="H98" s="413">
        <f t="shared" si="44"/>
        <v>0</v>
      </c>
      <c r="I98" s="413">
        <f>IF(D8&lt;=0,0,H98/$D$8)</f>
        <v>0</v>
      </c>
      <c r="J98" s="413">
        <f t="shared" si="45"/>
        <v>0</v>
      </c>
      <c r="K98" s="1"/>
      <c r="L98" s="1"/>
      <c r="M98" s="1"/>
      <c r="N98" s="1"/>
      <c r="O98" s="1"/>
      <c r="P98" s="1"/>
      <c r="Q98" s="1"/>
      <c r="R98" s="1"/>
      <c r="S98" s="1"/>
      <c r="T98" s="1"/>
      <c r="U98" s="1"/>
      <c r="V98" s="1"/>
      <c r="W98" s="1"/>
      <c r="X98" s="1"/>
      <c r="Y98" s="1"/>
      <c r="Z98" s="1"/>
      <c r="AA98" s="6"/>
    </row>
    <row r="99" spans="1:44" x14ac:dyDescent="0.2">
      <c r="A99" s="1"/>
      <c r="B99" s="1" t="s">
        <v>703</v>
      </c>
      <c r="C99" s="409">
        <f t="shared" si="39"/>
        <v>0</v>
      </c>
      <c r="D99" s="409">
        <f t="shared" si="40"/>
        <v>0</v>
      </c>
      <c r="E99" s="409">
        <f t="shared" si="41"/>
        <v>0</v>
      </c>
      <c r="F99" s="409">
        <f t="shared" si="42"/>
        <v>0</v>
      </c>
      <c r="G99" s="413">
        <f t="shared" si="43"/>
        <v>0</v>
      </c>
      <c r="H99" s="413">
        <f t="shared" si="44"/>
        <v>0</v>
      </c>
      <c r="I99" s="413">
        <f>IF(D8&lt;=0,0,H99/$D$8)</f>
        <v>0</v>
      </c>
      <c r="J99" s="413">
        <f t="shared" si="45"/>
        <v>0</v>
      </c>
      <c r="K99" s="1"/>
      <c r="L99" s="1"/>
      <c r="M99" s="1"/>
      <c r="N99" s="1"/>
      <c r="O99" s="1"/>
      <c r="P99" s="1"/>
      <c r="Q99" s="1"/>
      <c r="R99" s="1"/>
      <c r="S99" s="1"/>
      <c r="T99" s="1"/>
      <c r="U99" s="1"/>
      <c r="V99" s="1"/>
      <c r="W99" s="1"/>
      <c r="X99" s="1"/>
      <c r="Y99" s="1"/>
      <c r="Z99" s="1"/>
      <c r="AA99" s="6"/>
    </row>
    <row r="100" spans="1:44" x14ac:dyDescent="0.2">
      <c r="A100" s="1"/>
      <c r="B100" s="1"/>
      <c r="C100" s="1"/>
      <c r="D100" s="1"/>
      <c r="E100" s="1"/>
      <c r="F100" s="1"/>
      <c r="G100" s="1" t="s">
        <v>730</v>
      </c>
      <c r="H100" s="453">
        <f>SUM(H94:H99)</f>
        <v>0</v>
      </c>
      <c r="I100" s="418">
        <f>IF(D8&lt;=0,0,H100/$D$8)</f>
        <v>0</v>
      </c>
      <c r="J100" s="418">
        <f t="shared" si="45"/>
        <v>0</v>
      </c>
      <c r="K100" s="1"/>
      <c r="L100" s="1"/>
      <c r="M100" s="1"/>
      <c r="N100" s="1"/>
      <c r="O100" s="1"/>
      <c r="P100" s="1"/>
      <c r="Q100" s="1"/>
      <c r="R100" s="1"/>
      <c r="S100" s="1"/>
      <c r="T100" s="1"/>
      <c r="U100" s="1"/>
      <c r="V100" s="1"/>
      <c r="W100" s="1"/>
      <c r="X100" s="1"/>
      <c r="Y100" s="1"/>
      <c r="Z100" s="1"/>
      <c r="AA100" s="6"/>
    </row>
    <row r="101" spans="1:44"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6"/>
    </row>
    <row r="102" spans="1:44" x14ac:dyDescent="0.2">
      <c r="A102" s="1"/>
      <c r="B102" s="1"/>
      <c r="C102" s="1"/>
      <c r="D102" s="1"/>
      <c r="E102" s="1"/>
      <c r="F102" s="1"/>
      <c r="G102" s="1"/>
      <c r="H102" s="1"/>
      <c r="I102" s="1"/>
      <c r="J102" s="1"/>
      <c r="K102" s="1"/>
      <c r="L102" s="1"/>
      <c r="M102" s="1"/>
      <c r="N102" s="1"/>
      <c r="O102" s="1"/>
      <c r="P102" s="1"/>
      <c r="Q102" s="1"/>
      <c r="R102" s="1" t="s">
        <v>788</v>
      </c>
      <c r="S102" s="1"/>
      <c r="T102" s="1"/>
      <c r="U102" s="1"/>
      <c r="W102" s="1"/>
      <c r="X102" s="1"/>
      <c r="Y102" s="1" t="s">
        <v>789</v>
      </c>
      <c r="Z102" s="1"/>
      <c r="AA102" s="6"/>
    </row>
    <row r="103" spans="1:44"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6"/>
    </row>
    <row r="104" spans="1:44"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6"/>
    </row>
    <row r="105" spans="1:44" ht="15.75" x14ac:dyDescent="0.25">
      <c r="A105" s="1"/>
      <c r="B105" s="446" t="s">
        <v>397</v>
      </c>
      <c r="C105" s="1"/>
      <c r="D105" s="1"/>
      <c r="E105" s="1"/>
      <c r="F105" s="1"/>
      <c r="G105" s="1"/>
      <c r="H105" s="1"/>
      <c r="I105" s="1"/>
      <c r="J105" s="1"/>
      <c r="K105" s="1"/>
      <c r="L105" s="1"/>
      <c r="M105" s="1"/>
      <c r="N105" s="1"/>
      <c r="O105" s="1"/>
      <c r="P105" s="1"/>
      <c r="Q105" s="1"/>
      <c r="R105" s="1"/>
      <c r="S105" s="1"/>
      <c r="T105" s="1"/>
      <c r="U105" s="1"/>
      <c r="V105" s="1"/>
      <c r="W105" s="1"/>
      <c r="X105" s="1"/>
      <c r="Y105" s="1"/>
      <c r="Z105" s="1"/>
      <c r="AA105" s="6"/>
    </row>
    <row r="106" spans="1:44" x14ac:dyDescent="0.2">
      <c r="A106" s="1"/>
      <c r="B106" s="1"/>
      <c r="C106" s="1"/>
      <c r="D106" s="1"/>
      <c r="E106" s="1"/>
      <c r="F106" s="1"/>
      <c r="G106" s="1"/>
      <c r="H106" s="1"/>
      <c r="I106" s="1"/>
      <c r="J106" s="1"/>
      <c r="K106" s="1"/>
      <c r="L106" s="1"/>
      <c r="M106" s="1"/>
      <c r="N106" s="1"/>
      <c r="O106" s="1"/>
      <c r="P106" s="1"/>
      <c r="Q106" s="1"/>
    </row>
    <row r="107" spans="1:44" ht="15.75" x14ac:dyDescent="0.25">
      <c r="C107" s="446" t="s">
        <v>620</v>
      </c>
      <c r="D107" s="1" t="s">
        <v>398</v>
      </c>
      <c r="E107" s="1"/>
      <c r="F107" s="1"/>
      <c r="G107" s="1"/>
      <c r="H107" s="1"/>
      <c r="I107" s="1"/>
      <c r="J107" s="1"/>
      <c r="L107" s="446" t="s">
        <v>582</v>
      </c>
      <c r="N107" s="446" t="s">
        <v>620</v>
      </c>
      <c r="O107" s="1"/>
      <c r="P107" s="1"/>
      <c r="Q107" s="1"/>
      <c r="R107" s="1"/>
      <c r="S107" s="1"/>
      <c r="T107" s="1"/>
      <c r="U107" s="1"/>
      <c r="Y107" s="446" t="s">
        <v>795</v>
      </c>
      <c r="Z107" s="446" t="s">
        <v>393</v>
      </c>
      <c r="AA107" s="6"/>
      <c r="AB107" s="6"/>
      <c r="AC107" s="6"/>
      <c r="AD107" s="6"/>
      <c r="AE107" s="6"/>
      <c r="AF107" s="6"/>
      <c r="AG107" s="1"/>
      <c r="AI107" s="446" t="s">
        <v>582</v>
      </c>
      <c r="AJ107" s="446" t="s">
        <v>393</v>
      </c>
      <c r="AL107" s="1"/>
      <c r="AM107" s="1"/>
      <c r="AN107" s="1"/>
      <c r="AO107" s="1"/>
      <c r="AP107" s="1"/>
      <c r="AQ107" s="1"/>
      <c r="AR107" s="1"/>
    </row>
    <row r="108" spans="1:44" x14ac:dyDescent="0.2">
      <c r="B108" s="65"/>
      <c r="C108" s="1"/>
      <c r="D108" s="14"/>
      <c r="E108" s="14"/>
      <c r="F108" s="14"/>
      <c r="G108" s="14"/>
      <c r="H108" s="14"/>
      <c r="I108" s="14"/>
      <c r="J108" s="14"/>
      <c r="L108" s="65"/>
      <c r="M108" s="1"/>
      <c r="N108" s="14"/>
      <c r="O108" s="14"/>
      <c r="P108" s="14"/>
      <c r="Q108" s="14"/>
      <c r="R108" s="14"/>
      <c r="S108" s="14"/>
      <c r="T108" s="14"/>
      <c r="U108" s="14"/>
      <c r="Y108" s="65"/>
      <c r="Z108" s="1"/>
      <c r="AA108" s="6"/>
      <c r="AB108" s="6"/>
      <c r="AC108" s="6"/>
      <c r="AD108" s="6"/>
      <c r="AE108" s="6"/>
      <c r="AF108" s="6"/>
      <c r="AG108" s="14"/>
      <c r="AI108" s="65"/>
      <c r="AJ108" s="1"/>
      <c r="AK108" s="14"/>
      <c r="AL108" s="14"/>
      <c r="AM108" s="14"/>
      <c r="AN108" s="14"/>
      <c r="AO108" s="14"/>
      <c r="AP108" s="14"/>
      <c r="AQ108" s="14"/>
      <c r="AR108" s="14"/>
    </row>
    <row r="109" spans="1:44" ht="15.75" x14ac:dyDescent="0.25">
      <c r="B109" s="482" t="s">
        <v>994</v>
      </c>
      <c r="C109" s="483" t="s">
        <v>583</v>
      </c>
      <c r="D109" s="484" t="s">
        <v>616</v>
      </c>
      <c r="E109" s="482" t="s">
        <v>619</v>
      </c>
      <c r="F109" s="485" t="s">
        <v>617</v>
      </c>
      <c r="G109" s="485" t="s">
        <v>245</v>
      </c>
      <c r="H109" s="486" t="s">
        <v>489</v>
      </c>
      <c r="I109" s="486" t="s">
        <v>490</v>
      </c>
      <c r="L109" s="482" t="s">
        <v>994</v>
      </c>
      <c r="M109" s="483" t="s">
        <v>583</v>
      </c>
      <c r="N109" s="484" t="s">
        <v>616</v>
      </c>
      <c r="O109" s="482" t="s">
        <v>619</v>
      </c>
      <c r="P109" s="485" t="s">
        <v>617</v>
      </c>
      <c r="Q109" s="482"/>
      <c r="R109" s="485" t="s">
        <v>245</v>
      </c>
      <c r="S109" s="487" t="s">
        <v>489</v>
      </c>
      <c r="T109" s="487" t="s">
        <v>490</v>
      </c>
      <c r="U109" s="1"/>
      <c r="Y109" s="488" t="s">
        <v>994</v>
      </c>
      <c r="Z109" s="94" t="s">
        <v>583</v>
      </c>
      <c r="AA109" s="488" t="s">
        <v>616</v>
      </c>
      <c r="AB109" s="488" t="s">
        <v>619</v>
      </c>
      <c r="AC109" s="488" t="s">
        <v>617</v>
      </c>
      <c r="AD109" s="488" t="s">
        <v>618</v>
      </c>
      <c r="AE109" s="489" t="s">
        <v>489</v>
      </c>
      <c r="AF109" s="489" t="s">
        <v>490</v>
      </c>
      <c r="AI109" s="488" t="s">
        <v>994</v>
      </c>
      <c r="AJ109" s="94" t="s">
        <v>583</v>
      </c>
      <c r="AK109" s="490" t="s">
        <v>616</v>
      </c>
      <c r="AL109" s="488" t="s">
        <v>619</v>
      </c>
      <c r="AM109" s="74" t="s">
        <v>617</v>
      </c>
      <c r="AN109" s="488"/>
      <c r="AO109" s="74" t="s">
        <v>618</v>
      </c>
      <c r="AP109" s="72" t="s">
        <v>489</v>
      </c>
      <c r="AQ109" s="72" t="s">
        <v>490</v>
      </c>
      <c r="AR109" s="1"/>
    </row>
    <row r="110" spans="1:44" ht="15.75" x14ac:dyDescent="0.25">
      <c r="B110" s="305"/>
      <c r="C110" s="491" t="str">
        <f>IF(B110&lt;=0,"",VLOOKUP(B110,Treatments!$C$7:$J$407,2))</f>
        <v/>
      </c>
      <c r="D110" s="306"/>
      <c r="E110" s="433">
        <f>VLOOKUP(B110,Treatments!$C$7:$J$407,8)</f>
        <v>0</v>
      </c>
      <c r="F110" s="305"/>
      <c r="G110" s="493"/>
      <c r="H110" s="433">
        <f>D110*E110*F110*G110</f>
        <v>0</v>
      </c>
      <c r="I110" s="411">
        <f>H110*$D$9</f>
        <v>0</v>
      </c>
      <c r="L110" s="305"/>
      <c r="M110" s="491" t="str">
        <f>VLOOKUP(L110,Treatments!$C$7:$J$407,2)</f>
        <v>No treatment</v>
      </c>
      <c r="N110" s="306"/>
      <c r="O110" s="433">
        <f>VLOOKUP(L110,Treatments!$C$7:$J$407,8)</f>
        <v>0</v>
      </c>
      <c r="P110" s="305"/>
      <c r="Q110" s="494"/>
      <c r="R110" s="493"/>
      <c r="S110" s="433">
        <f t="shared" ref="S110:S115" si="46">N110*O110*P110*R110</f>
        <v>0</v>
      </c>
      <c r="T110" s="411">
        <f t="shared" ref="T110:T115" si="47">S110*$D$9</f>
        <v>0</v>
      </c>
      <c r="U110" s="1"/>
      <c r="Y110" s="447">
        <f>IF(AND(B110&gt;=344,B110&lt;=358),B110+15,B110)</f>
        <v>0</v>
      </c>
      <c r="Z110" s="491" t="str">
        <f>VLOOKUP(Y110,Treatments!$C$7:$J$407,2)</f>
        <v>No treatment</v>
      </c>
      <c r="AA110" s="495">
        <f>D110</f>
        <v>0</v>
      </c>
      <c r="AB110" s="433">
        <f>VLOOKUP(Y110,Treatments!$C$7:$J$407,8)</f>
        <v>0</v>
      </c>
      <c r="AC110" s="495">
        <f>F110</f>
        <v>0</v>
      </c>
      <c r="AD110" s="496">
        <f>G110</f>
        <v>0</v>
      </c>
      <c r="AE110" s="433">
        <f>AA110*AB110*AC110*AD110</f>
        <v>0</v>
      </c>
      <c r="AF110" s="411">
        <f t="shared" ref="AF110:AF124" si="48">AE110*$D$9</f>
        <v>0</v>
      </c>
      <c r="AI110" s="447">
        <f t="shared" ref="AI110:AI115" si="49">IF(AND(L110&gt;=344,L110&lt;=358),L110+15,L110)</f>
        <v>0</v>
      </c>
      <c r="AJ110" s="491" t="str">
        <f>VLOOKUP(AI110,Treatments!$C$7:$J$407,2)</f>
        <v>No treatment</v>
      </c>
      <c r="AK110" s="495">
        <f t="shared" ref="AK110:AK115" si="50">N110</f>
        <v>0</v>
      </c>
      <c r="AL110" s="433">
        <f>VLOOKUP(AI110,Treatments!$C$7:$J$407,8)</f>
        <v>0</v>
      </c>
      <c r="AM110" s="495">
        <f t="shared" ref="AM110:AM115" si="51">P110</f>
        <v>0</v>
      </c>
      <c r="AN110" s="494"/>
      <c r="AO110" s="496">
        <f t="shared" ref="AO110:AO115" si="52">R110</f>
        <v>0</v>
      </c>
      <c r="AP110" s="433">
        <f t="shared" ref="AP110:AP115" si="53">AK110*AL110*AM110*AO110</f>
        <v>0</v>
      </c>
      <c r="AQ110" s="411">
        <f t="shared" ref="AQ110:AQ115" si="54">AP110*$D$9</f>
        <v>0</v>
      </c>
      <c r="AR110" s="1"/>
    </row>
    <row r="111" spans="1:44" ht="15.75" x14ac:dyDescent="0.25">
      <c r="B111" s="305"/>
      <c r="C111" s="491" t="str">
        <f>IF(B111&lt;=0,"",VLOOKUP(B111,Treatments!$C$7:$J$407,2))</f>
        <v/>
      </c>
      <c r="D111" s="306"/>
      <c r="E111" s="433">
        <f>VLOOKUP(B111,Treatments!$C$7:$J$407,8)</f>
        <v>0</v>
      </c>
      <c r="F111" s="305"/>
      <c r="G111" s="493"/>
      <c r="H111" s="433">
        <f>D111*E111*F111*G111</f>
        <v>0</v>
      </c>
      <c r="I111" s="411">
        <f t="shared" ref="I111:I124" si="55">H111*$D$9</f>
        <v>0</v>
      </c>
      <c r="L111" s="305"/>
      <c r="M111" s="491" t="str">
        <f>VLOOKUP(L111,Treatments!$C$7:$J$407,2)</f>
        <v>No treatment</v>
      </c>
      <c r="N111" s="306"/>
      <c r="O111" s="433">
        <f>VLOOKUP(L111,Treatments!$C$7:$J$407,8)</f>
        <v>0</v>
      </c>
      <c r="P111" s="305"/>
      <c r="Q111" s="497"/>
      <c r="R111" s="493"/>
      <c r="S111" s="433">
        <f t="shared" si="46"/>
        <v>0</v>
      </c>
      <c r="T111" s="411">
        <f t="shared" si="47"/>
        <v>0</v>
      </c>
      <c r="U111" s="1"/>
      <c r="Y111" s="447">
        <f t="shared" ref="Y111:Y124" si="56">IF(AND(B111&gt;=344,B111&lt;=358),B111+15,B111)</f>
        <v>0</v>
      </c>
      <c r="Z111" s="491" t="str">
        <f>VLOOKUP(Y111,Treatments!$C$7:$J$407,2)</f>
        <v>No treatment</v>
      </c>
      <c r="AA111" s="495">
        <f t="shared" ref="AA111:AA124" si="57">D111</f>
        <v>0</v>
      </c>
      <c r="AB111" s="433">
        <f>VLOOKUP(Y111,Treatments!$C$7:$J$407,8)</f>
        <v>0</v>
      </c>
      <c r="AC111" s="495">
        <f t="shared" ref="AC111:AD124" si="58">F111</f>
        <v>0</v>
      </c>
      <c r="AD111" s="496">
        <f t="shared" si="58"/>
        <v>0</v>
      </c>
      <c r="AE111" s="433">
        <f>AA111*AB111*AC111*AD111</f>
        <v>0</v>
      </c>
      <c r="AF111" s="411">
        <f t="shared" si="48"/>
        <v>0</v>
      </c>
      <c r="AI111" s="447">
        <f t="shared" si="49"/>
        <v>0</v>
      </c>
      <c r="AJ111" s="491" t="str">
        <f>VLOOKUP(AI111,Treatments!$C$7:$J$407,2)</f>
        <v>No treatment</v>
      </c>
      <c r="AK111" s="495">
        <f t="shared" si="50"/>
        <v>0</v>
      </c>
      <c r="AL111" s="433">
        <f>VLOOKUP(AI111,Treatments!$C$7:$J$407,8)</f>
        <v>0</v>
      </c>
      <c r="AM111" s="495">
        <f t="shared" si="51"/>
        <v>0</v>
      </c>
      <c r="AN111" s="497"/>
      <c r="AO111" s="496">
        <f t="shared" si="52"/>
        <v>0</v>
      </c>
      <c r="AP111" s="433">
        <f t="shared" si="53"/>
        <v>0</v>
      </c>
      <c r="AQ111" s="411">
        <f t="shared" si="54"/>
        <v>0</v>
      </c>
      <c r="AR111" s="1"/>
    </row>
    <row r="112" spans="1:44" ht="15.75" x14ac:dyDescent="0.25">
      <c r="B112" s="305"/>
      <c r="C112" s="491" t="str">
        <f>IF(B112&lt;=0,"",VLOOKUP(B112,Treatments!$C$7:$J$407,2))</f>
        <v/>
      </c>
      <c r="D112" s="306"/>
      <c r="E112" s="433">
        <f>VLOOKUP(B112,Treatments!$C$7:$J$407,8)</f>
        <v>0</v>
      </c>
      <c r="F112" s="305"/>
      <c r="G112" s="493"/>
      <c r="H112" s="433">
        <f t="shared" ref="H112:H122" si="59">D112*E112*F112*G112</f>
        <v>0</v>
      </c>
      <c r="I112" s="411">
        <f t="shared" si="55"/>
        <v>0</v>
      </c>
      <c r="L112" s="305"/>
      <c r="M112" s="491" t="str">
        <f>VLOOKUP(L112,Treatments!$C$7:$J$407,2)</f>
        <v>No treatment</v>
      </c>
      <c r="N112" s="306"/>
      <c r="O112" s="433">
        <f>VLOOKUP(L112,Treatments!$C$7:$J$407,8)</f>
        <v>0</v>
      </c>
      <c r="P112" s="305"/>
      <c r="Q112" s="160"/>
      <c r="R112" s="493"/>
      <c r="S112" s="433">
        <f t="shared" si="46"/>
        <v>0</v>
      </c>
      <c r="T112" s="411">
        <f t="shared" si="47"/>
        <v>0</v>
      </c>
      <c r="U112" s="1"/>
      <c r="Y112" s="447">
        <f t="shared" si="56"/>
        <v>0</v>
      </c>
      <c r="Z112" s="491" t="str">
        <f>VLOOKUP(Y112,Treatments!$C$7:$J$407,2)</f>
        <v>No treatment</v>
      </c>
      <c r="AA112" s="495">
        <f t="shared" si="57"/>
        <v>0</v>
      </c>
      <c r="AB112" s="433">
        <f>VLOOKUP(Y112,Treatments!$C$7:$J$407,8)</f>
        <v>0</v>
      </c>
      <c r="AC112" s="495">
        <f t="shared" si="58"/>
        <v>0</v>
      </c>
      <c r="AD112" s="496">
        <f t="shared" si="58"/>
        <v>0</v>
      </c>
      <c r="AE112" s="433">
        <f t="shared" ref="AE112:AE122" si="60">AA112*AB112*AC112*AD112</f>
        <v>0</v>
      </c>
      <c r="AF112" s="411">
        <f t="shared" si="48"/>
        <v>0</v>
      </c>
      <c r="AI112" s="447">
        <f t="shared" si="49"/>
        <v>0</v>
      </c>
      <c r="AJ112" s="491" t="str">
        <f>VLOOKUP(AI112,Treatments!$C$7:$J$407,2)</f>
        <v>No treatment</v>
      </c>
      <c r="AK112" s="495">
        <f t="shared" si="50"/>
        <v>0</v>
      </c>
      <c r="AL112" s="433">
        <f>VLOOKUP(AI112,Treatments!$C$7:$J$407,8)</f>
        <v>0</v>
      </c>
      <c r="AM112" s="495">
        <f t="shared" si="51"/>
        <v>0</v>
      </c>
      <c r="AN112" s="160"/>
      <c r="AO112" s="496">
        <f t="shared" si="52"/>
        <v>0</v>
      </c>
      <c r="AP112" s="433">
        <f t="shared" si="53"/>
        <v>0</v>
      </c>
      <c r="AQ112" s="411">
        <f t="shared" si="54"/>
        <v>0</v>
      </c>
      <c r="AR112" s="1"/>
    </row>
    <row r="113" spans="2:44" ht="15.75" x14ac:dyDescent="0.25">
      <c r="B113" s="305"/>
      <c r="C113" s="491" t="str">
        <f>IF(B113&lt;=0,"",VLOOKUP(B113,Treatments!$C$7:$J$407,2))</f>
        <v/>
      </c>
      <c r="D113" s="306"/>
      <c r="E113" s="433">
        <f>VLOOKUP(B113,Treatments!$C$7:$J$407,8)</f>
        <v>0</v>
      </c>
      <c r="F113" s="305"/>
      <c r="G113" s="493"/>
      <c r="H113" s="433">
        <f t="shared" si="59"/>
        <v>0</v>
      </c>
      <c r="I113" s="411">
        <f t="shared" si="55"/>
        <v>0</v>
      </c>
      <c r="L113" s="305"/>
      <c r="M113" s="491" t="str">
        <f>VLOOKUP(L113,Treatments!$C$7:$J$407,2)</f>
        <v>No treatment</v>
      </c>
      <c r="N113" s="306"/>
      <c r="O113" s="433">
        <f>VLOOKUP(L113,Treatments!$C$7:$J$407,8)</f>
        <v>0</v>
      </c>
      <c r="P113" s="305"/>
      <c r="Q113" s="498"/>
      <c r="R113" s="493"/>
      <c r="S113" s="433">
        <f t="shared" si="46"/>
        <v>0</v>
      </c>
      <c r="T113" s="411">
        <f t="shared" si="47"/>
        <v>0</v>
      </c>
      <c r="U113" s="1"/>
      <c r="Y113" s="447">
        <f t="shared" si="56"/>
        <v>0</v>
      </c>
      <c r="Z113" s="491" t="str">
        <f>VLOOKUP(Y113,Treatments!$C$7:$J$407,2)</f>
        <v>No treatment</v>
      </c>
      <c r="AA113" s="495">
        <f t="shared" si="57"/>
        <v>0</v>
      </c>
      <c r="AB113" s="433">
        <f>VLOOKUP(Y113,Treatments!$C$7:$J$407,8)</f>
        <v>0</v>
      </c>
      <c r="AC113" s="495">
        <f t="shared" si="58"/>
        <v>0</v>
      </c>
      <c r="AD113" s="496">
        <f t="shared" si="58"/>
        <v>0</v>
      </c>
      <c r="AE113" s="433">
        <f t="shared" si="60"/>
        <v>0</v>
      </c>
      <c r="AF113" s="411">
        <f t="shared" si="48"/>
        <v>0</v>
      </c>
      <c r="AI113" s="447">
        <f t="shared" si="49"/>
        <v>0</v>
      </c>
      <c r="AJ113" s="491" t="str">
        <f>VLOOKUP(AI113,Treatments!$C$7:$J$407,2)</f>
        <v>No treatment</v>
      </c>
      <c r="AK113" s="495">
        <f t="shared" si="50"/>
        <v>0</v>
      </c>
      <c r="AL113" s="433">
        <f>VLOOKUP(AI113,Treatments!$C$7:$J$407,8)</f>
        <v>0</v>
      </c>
      <c r="AM113" s="495">
        <f t="shared" si="51"/>
        <v>0</v>
      </c>
      <c r="AN113" s="498"/>
      <c r="AO113" s="496">
        <f t="shared" si="52"/>
        <v>0</v>
      </c>
      <c r="AP113" s="433">
        <f t="shared" si="53"/>
        <v>0</v>
      </c>
      <c r="AQ113" s="411">
        <f t="shared" si="54"/>
        <v>0</v>
      </c>
      <c r="AR113" s="1"/>
    </row>
    <row r="114" spans="2:44" ht="15.75" x14ac:dyDescent="0.25">
      <c r="B114" s="305"/>
      <c r="C114" s="491" t="str">
        <f>IF(B114&lt;=0,"",VLOOKUP(B114,Treatments!$C$7:$J$407,2))</f>
        <v/>
      </c>
      <c r="D114" s="306"/>
      <c r="E114" s="433">
        <f>VLOOKUP(B114,Treatments!$C$7:$J$407,8)</f>
        <v>0</v>
      </c>
      <c r="F114" s="305"/>
      <c r="G114" s="493"/>
      <c r="H114" s="433">
        <f t="shared" si="59"/>
        <v>0</v>
      </c>
      <c r="I114" s="411">
        <f t="shared" si="55"/>
        <v>0</v>
      </c>
      <c r="L114" s="435"/>
      <c r="M114" s="491" t="str">
        <f>VLOOKUP(L114,Treatments!$C$7:$J$407,2)</f>
        <v>No treatment</v>
      </c>
      <c r="N114" s="492"/>
      <c r="O114" s="433">
        <f>VLOOKUP(L114,Treatments!$C$7:$J$407,8)</f>
        <v>0</v>
      </c>
      <c r="P114" s="435"/>
      <c r="Q114" s="498"/>
      <c r="R114" s="493"/>
      <c r="S114" s="433">
        <f t="shared" si="46"/>
        <v>0</v>
      </c>
      <c r="T114" s="411">
        <f t="shared" si="47"/>
        <v>0</v>
      </c>
      <c r="U114" s="1"/>
      <c r="Y114" s="447">
        <f t="shared" si="56"/>
        <v>0</v>
      </c>
      <c r="Z114" s="491" t="str">
        <f>VLOOKUP(Y114,Treatments!$C$7:$J$407,2)</f>
        <v>No treatment</v>
      </c>
      <c r="AA114" s="495">
        <f t="shared" si="57"/>
        <v>0</v>
      </c>
      <c r="AB114" s="433">
        <f>VLOOKUP(Y114,Treatments!$C$7:$J$407,8)</f>
        <v>0</v>
      </c>
      <c r="AC114" s="495">
        <f t="shared" si="58"/>
        <v>0</v>
      </c>
      <c r="AD114" s="496">
        <f t="shared" si="58"/>
        <v>0</v>
      </c>
      <c r="AE114" s="433">
        <f t="shared" si="60"/>
        <v>0</v>
      </c>
      <c r="AF114" s="411">
        <f t="shared" si="48"/>
        <v>0</v>
      </c>
      <c r="AI114" s="447">
        <f t="shared" si="49"/>
        <v>0</v>
      </c>
      <c r="AJ114" s="491" t="str">
        <f>VLOOKUP(AI114,Treatments!$C$7:$J$407,2)</f>
        <v>No treatment</v>
      </c>
      <c r="AK114" s="495">
        <f t="shared" si="50"/>
        <v>0</v>
      </c>
      <c r="AL114" s="433">
        <f>VLOOKUP(AI114,Treatments!$C$7:$J$407,8)</f>
        <v>0</v>
      </c>
      <c r="AM114" s="495">
        <f t="shared" si="51"/>
        <v>0</v>
      </c>
      <c r="AN114" s="498"/>
      <c r="AO114" s="496">
        <f t="shared" si="52"/>
        <v>0</v>
      </c>
      <c r="AP114" s="433">
        <f t="shared" si="53"/>
        <v>0</v>
      </c>
      <c r="AQ114" s="411">
        <f t="shared" si="54"/>
        <v>0</v>
      </c>
      <c r="AR114" s="1"/>
    </row>
    <row r="115" spans="2:44" ht="15.75" x14ac:dyDescent="0.25">
      <c r="B115" s="305"/>
      <c r="C115" s="491" t="str">
        <f>IF(B115&lt;=0,"",VLOOKUP(B115,Treatments!$C$7:$J$407,2))</f>
        <v/>
      </c>
      <c r="D115" s="306"/>
      <c r="E115" s="433">
        <f>VLOOKUP(B115,Treatments!$C$7:$J$407,8)</f>
        <v>0</v>
      </c>
      <c r="F115" s="305"/>
      <c r="G115" s="493"/>
      <c r="H115" s="433">
        <f t="shared" si="59"/>
        <v>0</v>
      </c>
      <c r="I115" s="411">
        <f t="shared" si="55"/>
        <v>0</v>
      </c>
      <c r="L115" s="435"/>
      <c r="M115" s="491" t="str">
        <f>VLOOKUP(L115,Treatments!$C$7:$J$407,2)</f>
        <v>No treatment</v>
      </c>
      <c r="N115" s="492"/>
      <c r="O115" s="433">
        <f>VLOOKUP(L115,Treatments!$C$7:$J$407,8)</f>
        <v>0</v>
      </c>
      <c r="P115" s="435"/>
      <c r="Q115" s="498"/>
      <c r="R115" s="493"/>
      <c r="S115" s="433">
        <f t="shared" si="46"/>
        <v>0</v>
      </c>
      <c r="T115" s="411">
        <f t="shared" si="47"/>
        <v>0</v>
      </c>
      <c r="U115" s="1"/>
      <c r="Y115" s="447">
        <f t="shared" si="56"/>
        <v>0</v>
      </c>
      <c r="Z115" s="491" t="str">
        <f>VLOOKUP(Y115,Treatments!$C$7:$J$407,2)</f>
        <v>No treatment</v>
      </c>
      <c r="AA115" s="495">
        <f t="shared" si="57"/>
        <v>0</v>
      </c>
      <c r="AB115" s="433">
        <f>VLOOKUP(Y115,Treatments!$C$7:$J$407,8)</f>
        <v>0</v>
      </c>
      <c r="AC115" s="495">
        <f t="shared" si="58"/>
        <v>0</v>
      </c>
      <c r="AD115" s="496">
        <f t="shared" si="58"/>
        <v>0</v>
      </c>
      <c r="AE115" s="433">
        <f t="shared" si="60"/>
        <v>0</v>
      </c>
      <c r="AF115" s="411">
        <f t="shared" si="48"/>
        <v>0</v>
      </c>
      <c r="AI115" s="447">
        <f t="shared" si="49"/>
        <v>0</v>
      </c>
      <c r="AJ115" s="491" t="str">
        <f>VLOOKUP(AI115,Treatments!$C$7:$J$407,2)</f>
        <v>No treatment</v>
      </c>
      <c r="AK115" s="495">
        <f t="shared" si="50"/>
        <v>0</v>
      </c>
      <c r="AL115" s="433">
        <f>VLOOKUP(AI115,Treatments!$C$7:$J$407,8)</f>
        <v>0</v>
      </c>
      <c r="AM115" s="495">
        <f t="shared" si="51"/>
        <v>0</v>
      </c>
      <c r="AN115" s="498"/>
      <c r="AO115" s="496">
        <f t="shared" si="52"/>
        <v>0</v>
      </c>
      <c r="AP115" s="433">
        <f t="shared" si="53"/>
        <v>0</v>
      </c>
      <c r="AQ115" s="411">
        <f t="shared" si="54"/>
        <v>0</v>
      </c>
      <c r="AR115" s="1"/>
    </row>
    <row r="116" spans="2:44" ht="15.75" x14ac:dyDescent="0.25">
      <c r="B116" s="305"/>
      <c r="C116" s="491" t="str">
        <f>IF(B116&lt;=0,"",VLOOKUP(B116,Treatments!$C$7:$J$407,2))</f>
        <v/>
      </c>
      <c r="D116" s="306"/>
      <c r="E116" s="433">
        <f>VLOOKUP(B116,Treatments!$C$7:$J$407,8)</f>
        <v>0</v>
      </c>
      <c r="F116" s="305"/>
      <c r="G116" s="493"/>
      <c r="H116" s="433">
        <f t="shared" si="59"/>
        <v>0</v>
      </c>
      <c r="I116" s="411">
        <f t="shared" si="55"/>
        <v>0</v>
      </c>
      <c r="U116" s="1"/>
      <c r="Y116" s="447">
        <f t="shared" si="56"/>
        <v>0</v>
      </c>
      <c r="Z116" s="491" t="str">
        <f>VLOOKUP(Y116,Treatments!$C$7:$J$407,2)</f>
        <v>No treatment</v>
      </c>
      <c r="AA116" s="495">
        <f t="shared" si="57"/>
        <v>0</v>
      </c>
      <c r="AB116" s="433">
        <f>VLOOKUP(Y116,Treatments!$C$7:$J$407,8)</f>
        <v>0</v>
      </c>
      <c r="AC116" s="495">
        <f t="shared" si="58"/>
        <v>0</v>
      </c>
      <c r="AD116" s="496">
        <f t="shared" si="58"/>
        <v>0</v>
      </c>
      <c r="AE116" s="433">
        <f t="shared" si="60"/>
        <v>0</v>
      </c>
      <c r="AF116" s="411">
        <f t="shared" si="48"/>
        <v>0</v>
      </c>
      <c r="AR116" s="1"/>
    </row>
    <row r="117" spans="2:44" ht="15.75" x14ac:dyDescent="0.25">
      <c r="B117" s="305"/>
      <c r="C117" s="491" t="str">
        <f>IF(B117&lt;=0,"",VLOOKUP(B117,Treatments!$C$7:$J$407,2))</f>
        <v/>
      </c>
      <c r="D117" s="306"/>
      <c r="E117" s="433">
        <f>VLOOKUP(B117,Treatments!$C$7:$J$407,8)</f>
        <v>0</v>
      </c>
      <c r="F117" s="305"/>
      <c r="G117" s="493"/>
      <c r="H117" s="433">
        <f t="shared" si="59"/>
        <v>0</v>
      </c>
      <c r="I117" s="411">
        <f t="shared" si="55"/>
        <v>0</v>
      </c>
      <c r="L117" s="482" t="s">
        <v>994</v>
      </c>
      <c r="M117" s="483" t="s">
        <v>580</v>
      </c>
      <c r="N117" s="484" t="s">
        <v>616</v>
      </c>
      <c r="O117" s="482" t="s">
        <v>619</v>
      </c>
      <c r="P117" s="485" t="s">
        <v>617</v>
      </c>
      <c r="Q117" s="482"/>
      <c r="R117" s="485" t="s">
        <v>618</v>
      </c>
      <c r="S117" s="487"/>
      <c r="T117" s="487"/>
      <c r="U117" s="1"/>
      <c r="Y117" s="447">
        <f t="shared" si="56"/>
        <v>0</v>
      </c>
      <c r="Z117" s="491" t="str">
        <f>VLOOKUP(Y117,Treatments!$C$7:$J$407,2)</f>
        <v>No treatment</v>
      </c>
      <c r="AA117" s="495">
        <f t="shared" si="57"/>
        <v>0</v>
      </c>
      <c r="AB117" s="433">
        <f>VLOOKUP(Y117,Treatments!$C$7:$J$407,8)</f>
        <v>0</v>
      </c>
      <c r="AC117" s="495">
        <f t="shared" si="58"/>
        <v>0</v>
      </c>
      <c r="AD117" s="496">
        <f t="shared" si="58"/>
        <v>0</v>
      </c>
      <c r="AE117" s="433">
        <f t="shared" si="60"/>
        <v>0</v>
      </c>
      <c r="AF117" s="411">
        <f t="shared" si="48"/>
        <v>0</v>
      </c>
      <c r="AI117" s="499" t="s">
        <v>994</v>
      </c>
      <c r="AJ117" s="5" t="s">
        <v>580</v>
      </c>
      <c r="AK117" s="14" t="s">
        <v>616</v>
      </c>
      <c r="AL117" s="6" t="s">
        <v>619</v>
      </c>
      <c r="AM117" s="1" t="s">
        <v>617</v>
      </c>
      <c r="AN117" s="6"/>
      <c r="AO117" s="1" t="s">
        <v>618</v>
      </c>
      <c r="AP117" s="500"/>
      <c r="AQ117" s="62"/>
      <c r="AR117" s="1"/>
    </row>
    <row r="118" spans="2:44" ht="15.75" x14ac:dyDescent="0.25">
      <c r="B118" s="305"/>
      <c r="C118" s="491" t="str">
        <f>IF(B118&lt;=0,"",VLOOKUP(B118,Treatments!$C$7:$J$407,2))</f>
        <v/>
      </c>
      <c r="D118" s="306"/>
      <c r="E118" s="433">
        <f>VLOOKUP(B118,Treatments!$C$7:$J$407,8)</f>
        <v>0</v>
      </c>
      <c r="F118" s="305"/>
      <c r="G118" s="493"/>
      <c r="H118" s="433">
        <f t="shared" si="59"/>
        <v>0</v>
      </c>
      <c r="I118" s="411">
        <f t="shared" si="55"/>
        <v>0</v>
      </c>
      <c r="L118" s="305"/>
      <c r="M118" s="491" t="str">
        <f>VLOOKUP(L118,Treatments!$C$7:$J$407,2)</f>
        <v>No treatment</v>
      </c>
      <c r="N118" s="306"/>
      <c r="O118" s="433">
        <f>VLOOKUP(L118,Treatments!$C$7:$J$407,8)</f>
        <v>0</v>
      </c>
      <c r="P118" s="305"/>
      <c r="Q118" s="494"/>
      <c r="R118" s="308"/>
      <c r="S118" s="433">
        <f>N118*O118*P118*R118</f>
        <v>0</v>
      </c>
      <c r="T118" s="411">
        <f>S118*$D$9</f>
        <v>0</v>
      </c>
      <c r="U118" s="1"/>
      <c r="Y118" s="447">
        <f t="shared" si="56"/>
        <v>0</v>
      </c>
      <c r="Z118" s="491" t="str">
        <f>VLOOKUP(Y118,Treatments!$C$7:$J$407,2)</f>
        <v>No treatment</v>
      </c>
      <c r="AA118" s="495">
        <f t="shared" si="57"/>
        <v>0</v>
      </c>
      <c r="AB118" s="433">
        <f>VLOOKUP(Y118,Treatments!$C$7:$J$407,8)</f>
        <v>0</v>
      </c>
      <c r="AC118" s="495">
        <f t="shared" si="58"/>
        <v>0</v>
      </c>
      <c r="AD118" s="496">
        <f t="shared" si="58"/>
        <v>0</v>
      </c>
      <c r="AE118" s="433">
        <f t="shared" si="60"/>
        <v>0</v>
      </c>
      <c r="AF118" s="411">
        <f t="shared" si="48"/>
        <v>0</v>
      </c>
      <c r="AI118" s="447">
        <f t="shared" ref="AI118:AI129" si="61">IF(AND(L118&gt;=344,L118&lt;=358),L118+15,L118)</f>
        <v>0</v>
      </c>
      <c r="AJ118" s="491" t="str">
        <f>VLOOKUP(AI118,Treatments!$C$7:$J$407,2)</f>
        <v>No treatment</v>
      </c>
      <c r="AK118" s="495">
        <f t="shared" ref="AK118:AK129" si="62">N118</f>
        <v>0</v>
      </c>
      <c r="AL118" s="433">
        <f>VLOOKUP(AI118,Treatments!$C$7:$J$407,8)</f>
        <v>0</v>
      </c>
      <c r="AM118" s="495">
        <f t="shared" ref="AM118:AM129" si="63">P118</f>
        <v>0</v>
      </c>
      <c r="AN118" s="494"/>
      <c r="AO118" s="496">
        <f t="shared" ref="AO118:AO129" si="64">R118</f>
        <v>0</v>
      </c>
      <c r="AP118" s="433">
        <f>AK118*AL118*AM118*AO118</f>
        <v>0</v>
      </c>
      <c r="AQ118" s="411">
        <f t="shared" ref="AQ118:AQ129" si="65">AP118*$D$9</f>
        <v>0</v>
      </c>
      <c r="AR118" s="1"/>
    </row>
    <row r="119" spans="2:44" ht="15.75" x14ac:dyDescent="0.25">
      <c r="B119" s="305"/>
      <c r="C119" s="491" t="str">
        <f>IF(B119&lt;=0,"",VLOOKUP(B119,Treatments!$C$7:$J$407,2))</f>
        <v/>
      </c>
      <c r="D119" s="306"/>
      <c r="E119" s="433">
        <f>VLOOKUP(B119,Treatments!$C$7:$J$407,8)</f>
        <v>0</v>
      </c>
      <c r="F119" s="305"/>
      <c r="G119" s="493"/>
      <c r="H119" s="433">
        <f t="shared" si="59"/>
        <v>0</v>
      </c>
      <c r="I119" s="411">
        <f t="shared" si="55"/>
        <v>0</v>
      </c>
      <c r="L119" s="305"/>
      <c r="M119" s="491" t="str">
        <f>VLOOKUP(L119,Treatments!$C$7:$J$407,2)</f>
        <v>No treatment</v>
      </c>
      <c r="N119" s="306"/>
      <c r="O119" s="433">
        <f>VLOOKUP(L119,Treatments!$C$7:$J$407,8)</f>
        <v>0</v>
      </c>
      <c r="P119" s="305"/>
      <c r="Q119" s="160"/>
      <c r="R119" s="308"/>
      <c r="S119" s="433">
        <f t="shared" ref="S119:S129" si="66">N119*O119*P119*R119</f>
        <v>0</v>
      </c>
      <c r="T119" s="411">
        <f t="shared" ref="T119:T129" si="67">S119*$D$9</f>
        <v>0</v>
      </c>
      <c r="U119" s="1"/>
      <c r="Y119" s="447">
        <f t="shared" si="56"/>
        <v>0</v>
      </c>
      <c r="Z119" s="491" t="str">
        <f>VLOOKUP(Y119,Treatments!$C$7:$J$407,2)</f>
        <v>No treatment</v>
      </c>
      <c r="AA119" s="495">
        <f t="shared" si="57"/>
        <v>0</v>
      </c>
      <c r="AB119" s="433">
        <f>VLOOKUP(Y119,Treatments!$C$7:$J$407,8)</f>
        <v>0</v>
      </c>
      <c r="AC119" s="495">
        <f t="shared" si="58"/>
        <v>0</v>
      </c>
      <c r="AD119" s="496">
        <f t="shared" si="58"/>
        <v>0</v>
      </c>
      <c r="AE119" s="433">
        <f t="shared" si="60"/>
        <v>0</v>
      </c>
      <c r="AF119" s="411">
        <f t="shared" si="48"/>
        <v>0</v>
      </c>
      <c r="AI119" s="447">
        <f t="shared" si="61"/>
        <v>0</v>
      </c>
      <c r="AJ119" s="491" t="str">
        <f>VLOOKUP(AI119,Treatments!$C$7:$J$407,2)</f>
        <v>No treatment</v>
      </c>
      <c r="AK119" s="495">
        <f t="shared" si="62"/>
        <v>0</v>
      </c>
      <c r="AL119" s="433">
        <f>VLOOKUP(AI119,Treatments!$C$7:$J$407,8)</f>
        <v>0</v>
      </c>
      <c r="AM119" s="495">
        <f t="shared" si="63"/>
        <v>0</v>
      </c>
      <c r="AN119" s="160"/>
      <c r="AO119" s="496">
        <f t="shared" si="64"/>
        <v>0</v>
      </c>
      <c r="AP119" s="433">
        <f t="shared" ref="AP119:AP129" si="68">AK119*AL119*AM119*AO119</f>
        <v>0</v>
      </c>
      <c r="AQ119" s="411">
        <f t="shared" si="65"/>
        <v>0</v>
      </c>
      <c r="AR119" s="1"/>
    </row>
    <row r="120" spans="2:44" ht="15.75" x14ac:dyDescent="0.25">
      <c r="B120" s="305"/>
      <c r="C120" s="491" t="str">
        <f>IF(B120&lt;=0,"",VLOOKUP(B120,Treatments!$C$7:$J$407,2))</f>
        <v/>
      </c>
      <c r="D120" s="306"/>
      <c r="E120" s="433">
        <f>VLOOKUP(B120,Treatments!$C$7:$J$407,8)</f>
        <v>0</v>
      </c>
      <c r="F120" s="305"/>
      <c r="G120" s="493"/>
      <c r="H120" s="433">
        <f t="shared" si="59"/>
        <v>0</v>
      </c>
      <c r="I120" s="411">
        <f t="shared" si="55"/>
        <v>0</v>
      </c>
      <c r="L120" s="305"/>
      <c r="M120" s="491" t="str">
        <f>VLOOKUP(L120,Treatments!$C$7:$J$407,2)</f>
        <v>No treatment</v>
      </c>
      <c r="N120" s="306"/>
      <c r="O120" s="433">
        <f>VLOOKUP(L120,Treatments!$C$7:$J$407,8)</f>
        <v>0</v>
      </c>
      <c r="P120" s="305"/>
      <c r="Q120" s="160"/>
      <c r="R120" s="308"/>
      <c r="S120" s="433">
        <f t="shared" si="66"/>
        <v>0</v>
      </c>
      <c r="T120" s="411">
        <f t="shared" si="67"/>
        <v>0</v>
      </c>
      <c r="U120" s="1"/>
      <c r="Y120" s="447">
        <f t="shared" si="56"/>
        <v>0</v>
      </c>
      <c r="Z120" s="491" t="str">
        <f>VLOOKUP(Y120,Treatments!$C$7:$J$407,2)</f>
        <v>No treatment</v>
      </c>
      <c r="AA120" s="495">
        <f t="shared" si="57"/>
        <v>0</v>
      </c>
      <c r="AB120" s="433">
        <f>VLOOKUP(Y120,Treatments!$C$7:$J$407,8)</f>
        <v>0</v>
      </c>
      <c r="AC120" s="495">
        <f t="shared" si="58"/>
        <v>0</v>
      </c>
      <c r="AD120" s="496">
        <f t="shared" si="58"/>
        <v>0</v>
      </c>
      <c r="AE120" s="433">
        <f t="shared" si="60"/>
        <v>0</v>
      </c>
      <c r="AF120" s="411">
        <f t="shared" si="48"/>
        <v>0</v>
      </c>
      <c r="AI120" s="447">
        <f t="shared" si="61"/>
        <v>0</v>
      </c>
      <c r="AJ120" s="491" t="str">
        <f>VLOOKUP(AI120,Treatments!$C$7:$J$407,2)</f>
        <v>No treatment</v>
      </c>
      <c r="AK120" s="495">
        <f t="shared" si="62"/>
        <v>0</v>
      </c>
      <c r="AL120" s="433">
        <f>VLOOKUP(AI120,Treatments!$C$7:$J$407,8)</f>
        <v>0</v>
      </c>
      <c r="AM120" s="495">
        <f t="shared" si="63"/>
        <v>0</v>
      </c>
      <c r="AN120" s="160"/>
      <c r="AO120" s="496">
        <f t="shared" si="64"/>
        <v>0</v>
      </c>
      <c r="AP120" s="433">
        <f t="shared" si="68"/>
        <v>0</v>
      </c>
      <c r="AQ120" s="411">
        <f t="shared" si="65"/>
        <v>0</v>
      </c>
      <c r="AR120" s="1"/>
    </row>
    <row r="121" spans="2:44" ht="15.75" x14ac:dyDescent="0.25">
      <c r="B121" s="305"/>
      <c r="C121" s="491" t="str">
        <f>IF(B121&lt;=0,"",VLOOKUP(B121,Treatments!$C$7:$J$407,2))</f>
        <v/>
      </c>
      <c r="D121" s="306"/>
      <c r="E121" s="433">
        <f>VLOOKUP(B121,Treatments!$C$7:$J$407,8)</f>
        <v>0</v>
      </c>
      <c r="F121" s="305"/>
      <c r="G121" s="493"/>
      <c r="H121" s="433">
        <f t="shared" si="59"/>
        <v>0</v>
      </c>
      <c r="I121" s="411">
        <f t="shared" si="55"/>
        <v>0</v>
      </c>
      <c r="L121" s="305"/>
      <c r="M121" s="491" t="str">
        <f>VLOOKUP(L121,Treatments!$C$7:$J$407,2)</f>
        <v>No treatment</v>
      </c>
      <c r="N121" s="306"/>
      <c r="O121" s="433">
        <f>VLOOKUP(L121,Treatments!$C$7:$J$407,8)</f>
        <v>0</v>
      </c>
      <c r="P121" s="305"/>
      <c r="Q121" s="160"/>
      <c r="R121" s="308"/>
      <c r="S121" s="433">
        <f t="shared" si="66"/>
        <v>0</v>
      </c>
      <c r="T121" s="411">
        <f t="shared" si="67"/>
        <v>0</v>
      </c>
      <c r="U121" s="1"/>
      <c r="Y121" s="447">
        <f t="shared" si="56"/>
        <v>0</v>
      </c>
      <c r="Z121" s="491" t="str">
        <f>VLOOKUP(Y121,Treatments!$C$7:$J$407,2)</f>
        <v>No treatment</v>
      </c>
      <c r="AA121" s="495">
        <f t="shared" si="57"/>
        <v>0</v>
      </c>
      <c r="AB121" s="433">
        <f>VLOOKUP(Y121,Treatments!$C$7:$J$407,8)</f>
        <v>0</v>
      </c>
      <c r="AC121" s="495">
        <f t="shared" si="58"/>
        <v>0</v>
      </c>
      <c r="AD121" s="496">
        <f t="shared" si="58"/>
        <v>0</v>
      </c>
      <c r="AE121" s="433">
        <f t="shared" si="60"/>
        <v>0</v>
      </c>
      <c r="AF121" s="411">
        <f t="shared" si="48"/>
        <v>0</v>
      </c>
      <c r="AI121" s="447">
        <f t="shared" si="61"/>
        <v>0</v>
      </c>
      <c r="AJ121" s="491" t="str">
        <f>VLOOKUP(AI121,Treatments!$C$7:$J$407,2)</f>
        <v>No treatment</v>
      </c>
      <c r="AK121" s="495">
        <f t="shared" si="62"/>
        <v>0</v>
      </c>
      <c r="AL121" s="433">
        <f>VLOOKUP(AI121,Treatments!$C$7:$J$407,8)</f>
        <v>0</v>
      </c>
      <c r="AM121" s="495">
        <f t="shared" si="63"/>
        <v>0</v>
      </c>
      <c r="AN121" s="160"/>
      <c r="AO121" s="496">
        <f t="shared" si="64"/>
        <v>0</v>
      </c>
      <c r="AP121" s="433">
        <f t="shared" si="68"/>
        <v>0</v>
      </c>
      <c r="AQ121" s="411">
        <f t="shared" si="65"/>
        <v>0</v>
      </c>
      <c r="AR121" s="1"/>
    </row>
    <row r="122" spans="2:44" ht="15.75" x14ac:dyDescent="0.25">
      <c r="B122" s="305"/>
      <c r="C122" s="491" t="str">
        <f>IF(B122&lt;=0,"",VLOOKUP(B122,Treatments!$C$7:$J$407,2))</f>
        <v/>
      </c>
      <c r="D122" s="306"/>
      <c r="E122" s="433">
        <f>VLOOKUP(B122,Treatments!$C$7:$J$407,8)</f>
        <v>0</v>
      </c>
      <c r="F122" s="305"/>
      <c r="G122" s="493"/>
      <c r="H122" s="433">
        <f t="shared" si="59"/>
        <v>0</v>
      </c>
      <c r="I122" s="411">
        <f t="shared" si="55"/>
        <v>0</v>
      </c>
      <c r="L122" s="305"/>
      <c r="M122" s="491" t="str">
        <f>VLOOKUP(L122,Treatments!$C$7:$J$407,2)</f>
        <v>No treatment</v>
      </c>
      <c r="N122" s="306"/>
      <c r="O122" s="433">
        <f>VLOOKUP(L122,Treatments!$C$7:$J$407,8)</f>
        <v>0</v>
      </c>
      <c r="P122" s="305"/>
      <c r="Q122" s="160"/>
      <c r="R122" s="308"/>
      <c r="S122" s="433">
        <f t="shared" si="66"/>
        <v>0</v>
      </c>
      <c r="T122" s="411">
        <f t="shared" si="67"/>
        <v>0</v>
      </c>
      <c r="U122" s="1"/>
      <c r="Y122" s="447">
        <f t="shared" si="56"/>
        <v>0</v>
      </c>
      <c r="Z122" s="491" t="str">
        <f>VLOOKUP(Y122,Treatments!$C$7:$J$407,2)</f>
        <v>No treatment</v>
      </c>
      <c r="AA122" s="495">
        <f t="shared" si="57"/>
        <v>0</v>
      </c>
      <c r="AB122" s="433">
        <f>VLOOKUP(Y122,Treatments!$C$7:$J$407,8)</f>
        <v>0</v>
      </c>
      <c r="AC122" s="495">
        <f t="shared" si="58"/>
        <v>0</v>
      </c>
      <c r="AD122" s="496">
        <f t="shared" si="58"/>
        <v>0</v>
      </c>
      <c r="AE122" s="433">
        <f t="shared" si="60"/>
        <v>0</v>
      </c>
      <c r="AF122" s="411">
        <f t="shared" si="48"/>
        <v>0</v>
      </c>
      <c r="AI122" s="447">
        <f t="shared" si="61"/>
        <v>0</v>
      </c>
      <c r="AJ122" s="491" t="str">
        <f>VLOOKUP(AI122,Treatments!$C$7:$J$407,2)</f>
        <v>No treatment</v>
      </c>
      <c r="AK122" s="495">
        <f t="shared" si="62"/>
        <v>0</v>
      </c>
      <c r="AL122" s="433">
        <f>VLOOKUP(AI122,Treatments!$C$7:$J$407,8)</f>
        <v>0</v>
      </c>
      <c r="AM122" s="495">
        <f t="shared" si="63"/>
        <v>0</v>
      </c>
      <c r="AN122" s="160"/>
      <c r="AO122" s="496">
        <f t="shared" si="64"/>
        <v>0</v>
      </c>
      <c r="AP122" s="433">
        <f t="shared" si="68"/>
        <v>0</v>
      </c>
      <c r="AQ122" s="411">
        <f t="shared" si="65"/>
        <v>0</v>
      </c>
      <c r="AR122" s="1"/>
    </row>
    <row r="123" spans="2:44" ht="15.75" x14ac:dyDescent="0.25">
      <c r="B123" s="305"/>
      <c r="C123" s="491" t="str">
        <f>IF(B123&lt;=0,"",VLOOKUP(B123,Treatments!$C$7:$J$407,2))</f>
        <v/>
      </c>
      <c r="D123" s="306"/>
      <c r="E123" s="433">
        <f>VLOOKUP(B123,Treatments!$C$7:$J$407,8)</f>
        <v>0</v>
      </c>
      <c r="F123" s="305"/>
      <c r="G123" s="493"/>
      <c r="H123" s="433">
        <f>D123*E123*F123*G123</f>
        <v>0</v>
      </c>
      <c r="I123" s="411">
        <f t="shared" si="55"/>
        <v>0</v>
      </c>
      <c r="L123" s="305"/>
      <c r="M123" s="491" t="str">
        <f>VLOOKUP(L123,Treatments!$C$7:$J$407,2)</f>
        <v>No treatment</v>
      </c>
      <c r="N123" s="306"/>
      <c r="O123" s="433">
        <f>VLOOKUP(L123,Treatments!$C$7:$J$407,8)</f>
        <v>0</v>
      </c>
      <c r="P123" s="305"/>
      <c r="Q123" s="160"/>
      <c r="R123" s="308"/>
      <c r="S123" s="433">
        <f t="shared" si="66"/>
        <v>0</v>
      </c>
      <c r="T123" s="411">
        <f t="shared" si="67"/>
        <v>0</v>
      </c>
      <c r="U123" s="1"/>
      <c r="Y123" s="447">
        <f t="shared" si="56"/>
        <v>0</v>
      </c>
      <c r="Z123" s="491" t="str">
        <f>VLOOKUP(Y123,Treatments!$C$7:$J$407,2)</f>
        <v>No treatment</v>
      </c>
      <c r="AA123" s="495">
        <f t="shared" si="57"/>
        <v>0</v>
      </c>
      <c r="AB123" s="433">
        <f>VLOOKUP(Y123,Treatments!$C$7:$J$407,8)</f>
        <v>0</v>
      </c>
      <c r="AC123" s="495">
        <f t="shared" si="58"/>
        <v>0</v>
      </c>
      <c r="AD123" s="496">
        <f t="shared" si="58"/>
        <v>0</v>
      </c>
      <c r="AE123" s="433">
        <f>AA123*AB123*AC123*AD123</f>
        <v>0</v>
      </c>
      <c r="AF123" s="411">
        <f t="shared" si="48"/>
        <v>0</v>
      </c>
      <c r="AI123" s="447">
        <f t="shared" si="61"/>
        <v>0</v>
      </c>
      <c r="AJ123" s="491" t="str">
        <f>VLOOKUP(AI123,Treatments!$C$7:$J$407,2)</f>
        <v>No treatment</v>
      </c>
      <c r="AK123" s="495">
        <f t="shared" si="62"/>
        <v>0</v>
      </c>
      <c r="AL123" s="433">
        <f>VLOOKUP(AI123,Treatments!$C$7:$J$407,8)</f>
        <v>0</v>
      </c>
      <c r="AM123" s="495">
        <f t="shared" si="63"/>
        <v>0</v>
      </c>
      <c r="AN123" s="160"/>
      <c r="AO123" s="496">
        <f t="shared" si="64"/>
        <v>0</v>
      </c>
      <c r="AP123" s="433">
        <f t="shared" si="68"/>
        <v>0</v>
      </c>
      <c r="AQ123" s="411">
        <f t="shared" si="65"/>
        <v>0</v>
      </c>
      <c r="AR123" s="1"/>
    </row>
    <row r="124" spans="2:44" ht="15.75" x14ac:dyDescent="0.25">
      <c r="B124" s="305"/>
      <c r="C124" s="491" t="str">
        <f>IF(B124&lt;=0,"",VLOOKUP(B124,Treatments!$C$7:$J$407,2))</f>
        <v/>
      </c>
      <c r="D124" s="306"/>
      <c r="E124" s="433">
        <f>VLOOKUP(B124,Treatments!$C$7:$J$407,8)</f>
        <v>0</v>
      </c>
      <c r="F124" s="305"/>
      <c r="G124" s="493"/>
      <c r="H124" s="433">
        <f>D124*E124*F124*G124</f>
        <v>0</v>
      </c>
      <c r="I124" s="411">
        <f t="shared" si="55"/>
        <v>0</v>
      </c>
      <c r="L124" s="305"/>
      <c r="M124" s="491" t="str">
        <f>VLOOKUP(L124,Treatments!$C$7:$J$407,2)</f>
        <v>No treatment</v>
      </c>
      <c r="N124" s="306"/>
      <c r="O124" s="433">
        <f>VLOOKUP(L124,Treatments!$C$7:$J$407,8)</f>
        <v>0</v>
      </c>
      <c r="P124" s="305"/>
      <c r="Q124" s="160"/>
      <c r="R124" s="308"/>
      <c r="S124" s="433">
        <f t="shared" si="66"/>
        <v>0</v>
      </c>
      <c r="T124" s="411">
        <f t="shared" si="67"/>
        <v>0</v>
      </c>
      <c r="U124" s="1"/>
      <c r="Y124" s="447">
        <f t="shared" si="56"/>
        <v>0</v>
      </c>
      <c r="Z124" s="491" t="str">
        <f>VLOOKUP(Y124,Treatments!$C$7:$J$407,2)</f>
        <v>No treatment</v>
      </c>
      <c r="AA124" s="495">
        <f t="shared" si="57"/>
        <v>0</v>
      </c>
      <c r="AB124" s="433">
        <f>VLOOKUP(Y124,Treatments!$C$7:$J$407,8)</f>
        <v>0</v>
      </c>
      <c r="AC124" s="495">
        <f t="shared" si="58"/>
        <v>0</v>
      </c>
      <c r="AD124" s="496">
        <f t="shared" si="58"/>
        <v>0</v>
      </c>
      <c r="AE124" s="433">
        <f>AA124*AB124*AC124*AD124</f>
        <v>0</v>
      </c>
      <c r="AF124" s="411">
        <f t="shared" si="48"/>
        <v>0</v>
      </c>
      <c r="AI124" s="447">
        <f t="shared" si="61"/>
        <v>0</v>
      </c>
      <c r="AJ124" s="491" t="str">
        <f>VLOOKUP(AI124,Treatments!$C$7:$J$407,2)</f>
        <v>No treatment</v>
      </c>
      <c r="AK124" s="495">
        <f t="shared" si="62"/>
        <v>0</v>
      </c>
      <c r="AL124" s="433">
        <f>VLOOKUP(AI124,Treatments!$C$7:$J$407,8)</f>
        <v>0</v>
      </c>
      <c r="AM124" s="495">
        <f t="shared" si="63"/>
        <v>0</v>
      </c>
      <c r="AN124" s="160"/>
      <c r="AO124" s="496">
        <f t="shared" si="64"/>
        <v>0</v>
      </c>
      <c r="AP124" s="433">
        <f t="shared" si="68"/>
        <v>0</v>
      </c>
      <c r="AQ124" s="411">
        <f t="shared" si="65"/>
        <v>0</v>
      </c>
      <c r="AR124" s="1"/>
    </row>
    <row r="125" spans="2:44" ht="15.75" x14ac:dyDescent="0.25">
      <c r="B125" s="304"/>
      <c r="C125" s="1"/>
      <c r="D125" s="304"/>
      <c r="E125" s="1"/>
      <c r="F125" s="304"/>
      <c r="G125" s="6"/>
      <c r="H125" s="1"/>
      <c r="I125" s="1"/>
      <c r="L125" s="305"/>
      <c r="M125" s="491" t="str">
        <f>VLOOKUP(L125,Treatments!$C$7:$J$407,2)</f>
        <v>No treatment</v>
      </c>
      <c r="N125" s="306"/>
      <c r="O125" s="433">
        <f>VLOOKUP(L125,Treatments!$C$7:$J$407,8)</f>
        <v>0</v>
      </c>
      <c r="P125" s="305"/>
      <c r="Q125" s="160"/>
      <c r="R125" s="308"/>
      <c r="S125" s="433">
        <f t="shared" si="66"/>
        <v>0</v>
      </c>
      <c r="T125" s="411">
        <f t="shared" si="67"/>
        <v>0</v>
      </c>
      <c r="U125" s="1"/>
      <c r="Y125" s="1"/>
      <c r="Z125" s="1"/>
      <c r="AA125" s="6"/>
      <c r="AB125" s="6"/>
      <c r="AC125" s="6"/>
      <c r="AD125" s="6"/>
      <c r="AE125" s="6"/>
      <c r="AF125" s="6"/>
      <c r="AI125" s="447">
        <f t="shared" si="61"/>
        <v>0</v>
      </c>
      <c r="AJ125" s="491" t="str">
        <f>VLOOKUP(AI125,Treatments!$C$7:$J$407,2)</f>
        <v>No treatment</v>
      </c>
      <c r="AK125" s="495">
        <f t="shared" si="62"/>
        <v>0</v>
      </c>
      <c r="AL125" s="433">
        <f>VLOOKUP(AI125,Treatments!$C$7:$J$407,8)</f>
        <v>0</v>
      </c>
      <c r="AM125" s="495">
        <f t="shared" si="63"/>
        <v>0</v>
      </c>
      <c r="AN125" s="160"/>
      <c r="AO125" s="496">
        <f t="shared" si="64"/>
        <v>0</v>
      </c>
      <c r="AP125" s="433">
        <f t="shared" si="68"/>
        <v>0</v>
      </c>
      <c r="AQ125" s="411">
        <f t="shared" si="65"/>
        <v>0</v>
      </c>
      <c r="AR125" s="1"/>
    </row>
    <row r="126" spans="2:44" ht="15.75" x14ac:dyDescent="0.25">
      <c r="B126" s="379" t="s">
        <v>994</v>
      </c>
      <c r="C126" s="502" t="s">
        <v>580</v>
      </c>
      <c r="D126" s="381" t="s">
        <v>616</v>
      </c>
      <c r="E126" s="501" t="s">
        <v>619</v>
      </c>
      <c r="F126" s="382" t="s">
        <v>617</v>
      </c>
      <c r="G126" s="504" t="s">
        <v>618</v>
      </c>
      <c r="H126" s="505"/>
      <c r="I126" s="506"/>
      <c r="L126" s="305"/>
      <c r="M126" s="491" t="str">
        <f>VLOOKUP(L126,Treatments!$C$7:$J$407,2)</f>
        <v>No treatment</v>
      </c>
      <c r="N126" s="306"/>
      <c r="O126" s="433">
        <f>VLOOKUP(L126,Treatments!$C$7:$J$407,8)</f>
        <v>0</v>
      </c>
      <c r="P126" s="305"/>
      <c r="Q126" s="160"/>
      <c r="R126" s="308"/>
      <c r="S126" s="433">
        <f t="shared" si="66"/>
        <v>0</v>
      </c>
      <c r="T126" s="411">
        <f t="shared" si="67"/>
        <v>0</v>
      </c>
      <c r="U126" s="1"/>
      <c r="Y126" s="6" t="s">
        <v>994</v>
      </c>
      <c r="Z126" s="5" t="s">
        <v>580</v>
      </c>
      <c r="AA126" s="6" t="s">
        <v>616</v>
      </c>
      <c r="AB126" s="6" t="s">
        <v>619</v>
      </c>
      <c r="AC126" s="6" t="s">
        <v>617</v>
      </c>
      <c r="AD126" s="6" t="s">
        <v>618</v>
      </c>
      <c r="AE126" s="507"/>
      <c r="AF126" s="508"/>
      <c r="AI126" s="447">
        <f t="shared" si="61"/>
        <v>0</v>
      </c>
      <c r="AJ126" s="491" t="str">
        <f>VLOOKUP(AI126,Treatments!$C$7:$J$407,2)</f>
        <v>No treatment</v>
      </c>
      <c r="AK126" s="495">
        <f t="shared" si="62"/>
        <v>0</v>
      </c>
      <c r="AL126" s="433">
        <f>VLOOKUP(AI126,Treatments!$C$7:$J$407,8)</f>
        <v>0</v>
      </c>
      <c r="AM126" s="495">
        <f t="shared" si="63"/>
        <v>0</v>
      </c>
      <c r="AN126" s="160"/>
      <c r="AO126" s="496">
        <f t="shared" si="64"/>
        <v>0</v>
      </c>
      <c r="AP126" s="433">
        <f t="shared" si="68"/>
        <v>0</v>
      </c>
      <c r="AQ126" s="411">
        <f t="shared" si="65"/>
        <v>0</v>
      </c>
      <c r="AR126" s="1"/>
    </row>
    <row r="127" spans="2:44" ht="15.75" x14ac:dyDescent="0.25">
      <c r="B127" s="305"/>
      <c r="C127" s="491" t="str">
        <f>IF(B127&lt;=0,"",VLOOKUP(B127,Treatments!$C$7:$J$407,2))</f>
        <v/>
      </c>
      <c r="D127" s="306"/>
      <c r="E127" s="433">
        <f>VLOOKUP(B127,Treatments!$C$7:$J$407,8)</f>
        <v>0</v>
      </c>
      <c r="F127" s="305"/>
      <c r="G127" s="493"/>
      <c r="H127" s="433">
        <f t="shared" ref="H127:H138" si="69">D127*E127*F127*G127</f>
        <v>0</v>
      </c>
      <c r="I127" s="411">
        <f>H127*$D$9</f>
        <v>0</v>
      </c>
      <c r="L127" s="305"/>
      <c r="M127" s="491" t="str">
        <f>VLOOKUP(L127,Treatments!$C$7:$J$407,2)</f>
        <v>No treatment</v>
      </c>
      <c r="N127" s="306"/>
      <c r="O127" s="433">
        <f>VLOOKUP(L127,Treatments!$C$7:$J$407,8)</f>
        <v>0</v>
      </c>
      <c r="P127" s="305"/>
      <c r="Q127" s="160"/>
      <c r="R127" s="308"/>
      <c r="S127" s="433">
        <f t="shared" si="66"/>
        <v>0</v>
      </c>
      <c r="T127" s="411">
        <f t="shared" si="67"/>
        <v>0</v>
      </c>
      <c r="U127" s="1"/>
      <c r="Y127" s="447">
        <f>IF(AND(B127&gt;=344,B127&lt;=358),B127+15,B127)</f>
        <v>0</v>
      </c>
      <c r="Z127" s="491" t="str">
        <f>VLOOKUP(Y127,Treatments!$C$7:$J$407,2)</f>
        <v>No treatment</v>
      </c>
      <c r="AA127" s="495">
        <f t="shared" ref="AA127:AA138" si="70">D127</f>
        <v>0</v>
      </c>
      <c r="AB127" s="433">
        <f>VLOOKUP(Y127,Treatments!$C$7:$J$407,8)</f>
        <v>0</v>
      </c>
      <c r="AC127" s="495">
        <f t="shared" ref="AC127:AD138" si="71">F127</f>
        <v>0</v>
      </c>
      <c r="AD127" s="496">
        <f t="shared" si="71"/>
        <v>0</v>
      </c>
      <c r="AE127" s="433">
        <f t="shared" ref="AE127:AE138" si="72">AA127*AB127*AC127*AD127</f>
        <v>0</v>
      </c>
      <c r="AF127" s="411">
        <f t="shared" ref="AF127:AF138" si="73">AE127*$D$9</f>
        <v>0</v>
      </c>
      <c r="AI127" s="447">
        <f t="shared" si="61"/>
        <v>0</v>
      </c>
      <c r="AJ127" s="491" t="str">
        <f>VLOOKUP(AI127,Treatments!$C$7:$J$407,2)</f>
        <v>No treatment</v>
      </c>
      <c r="AK127" s="495">
        <f t="shared" si="62"/>
        <v>0</v>
      </c>
      <c r="AL127" s="433">
        <f>VLOOKUP(AI127,Treatments!$C$7:$J$407,8)</f>
        <v>0</v>
      </c>
      <c r="AM127" s="495">
        <f t="shared" si="63"/>
        <v>0</v>
      </c>
      <c r="AN127" s="160"/>
      <c r="AO127" s="496">
        <f t="shared" si="64"/>
        <v>0</v>
      </c>
      <c r="AP127" s="433">
        <f t="shared" si="68"/>
        <v>0</v>
      </c>
      <c r="AQ127" s="411">
        <f t="shared" si="65"/>
        <v>0</v>
      </c>
      <c r="AR127" s="1"/>
    </row>
    <row r="128" spans="2:44" ht="15.75" x14ac:dyDescent="0.25">
      <c r="B128" s="305"/>
      <c r="C128" s="491" t="str">
        <f>IF(B128&lt;=0,"",VLOOKUP(B128,Treatments!$C$7:$J$407,2))</f>
        <v/>
      </c>
      <c r="D128" s="306"/>
      <c r="E128" s="433">
        <f>VLOOKUP(B128,Treatments!$C$7:$J$407,8)</f>
        <v>0</v>
      </c>
      <c r="F128" s="305"/>
      <c r="G128" s="493"/>
      <c r="H128" s="433">
        <f t="shared" si="69"/>
        <v>0</v>
      </c>
      <c r="I128" s="411">
        <f t="shared" ref="I128:I138" si="74">H128*$D$9</f>
        <v>0</v>
      </c>
      <c r="L128" s="435"/>
      <c r="M128" s="491" t="str">
        <f>VLOOKUP(L128,Treatments!$C$7:$J$407,2)</f>
        <v>No treatment</v>
      </c>
      <c r="N128" s="492"/>
      <c r="O128" s="433">
        <f>VLOOKUP(L128,Treatments!$C$7:$J$407,8)</f>
        <v>0</v>
      </c>
      <c r="P128" s="435"/>
      <c r="Q128" s="160"/>
      <c r="R128" s="493"/>
      <c r="S128" s="433">
        <f t="shared" si="66"/>
        <v>0</v>
      </c>
      <c r="T128" s="411">
        <f t="shared" si="67"/>
        <v>0</v>
      </c>
      <c r="U128" s="1"/>
      <c r="Y128" s="447">
        <f t="shared" ref="Y128:Y138" si="75">IF(AND(B128&gt;=344,B128&lt;=358),B128+15,B128)</f>
        <v>0</v>
      </c>
      <c r="Z128" s="491" t="str">
        <f>VLOOKUP(Y128,Treatments!$C$7:$J$407,2)</f>
        <v>No treatment</v>
      </c>
      <c r="AA128" s="495">
        <f t="shared" si="70"/>
        <v>0</v>
      </c>
      <c r="AB128" s="433">
        <f>VLOOKUP(Y128,Treatments!$C$7:$J$407,8)</f>
        <v>0</v>
      </c>
      <c r="AC128" s="495">
        <f t="shared" si="71"/>
        <v>0</v>
      </c>
      <c r="AD128" s="496">
        <f t="shared" si="71"/>
        <v>0</v>
      </c>
      <c r="AE128" s="433">
        <f t="shared" si="72"/>
        <v>0</v>
      </c>
      <c r="AF128" s="411">
        <f t="shared" si="73"/>
        <v>0</v>
      </c>
      <c r="AI128" s="447">
        <f t="shared" si="61"/>
        <v>0</v>
      </c>
      <c r="AJ128" s="491" t="str">
        <f>VLOOKUP(AI128,Treatments!$C$7:$J$407,2)</f>
        <v>No treatment</v>
      </c>
      <c r="AK128" s="495">
        <f t="shared" si="62"/>
        <v>0</v>
      </c>
      <c r="AL128" s="433">
        <f>VLOOKUP(AI128,Treatments!$C$7:$J$407,8)</f>
        <v>0</v>
      </c>
      <c r="AM128" s="495">
        <f t="shared" si="63"/>
        <v>0</v>
      </c>
      <c r="AN128" s="160"/>
      <c r="AO128" s="496">
        <f t="shared" si="64"/>
        <v>0</v>
      </c>
      <c r="AP128" s="433">
        <f t="shared" si="68"/>
        <v>0</v>
      </c>
      <c r="AQ128" s="411">
        <f t="shared" si="65"/>
        <v>0</v>
      </c>
      <c r="AR128" s="1"/>
    </row>
    <row r="129" spans="2:44" ht="15.75" x14ac:dyDescent="0.25">
      <c r="B129" s="305"/>
      <c r="C129" s="491" t="str">
        <f>IF(B129&lt;=0,"",VLOOKUP(B129,Treatments!$C$7:$J$407,2))</f>
        <v/>
      </c>
      <c r="D129" s="306"/>
      <c r="E129" s="433">
        <f>VLOOKUP(B129,Treatments!$C$7:$J$407,8)</f>
        <v>0</v>
      </c>
      <c r="F129" s="305"/>
      <c r="G129" s="493"/>
      <c r="H129" s="433">
        <f t="shared" si="69"/>
        <v>0</v>
      </c>
      <c r="I129" s="411">
        <f t="shared" si="74"/>
        <v>0</v>
      </c>
      <c r="L129" s="435"/>
      <c r="M129" s="491" t="str">
        <f>VLOOKUP(L129,Treatments!$C$7:$J$407,2)</f>
        <v>No treatment</v>
      </c>
      <c r="N129" s="492"/>
      <c r="O129" s="433">
        <f>VLOOKUP(L129,Treatments!$C$7:$J$407,8)</f>
        <v>0</v>
      </c>
      <c r="P129" s="435"/>
      <c r="Q129" s="498"/>
      <c r="R129" s="493"/>
      <c r="S129" s="433">
        <f t="shared" si="66"/>
        <v>0</v>
      </c>
      <c r="T129" s="411">
        <f t="shared" si="67"/>
        <v>0</v>
      </c>
      <c r="U129" s="1"/>
      <c r="Y129" s="447">
        <f t="shared" si="75"/>
        <v>0</v>
      </c>
      <c r="Z129" s="491" t="str">
        <f>VLOOKUP(Y129,Treatments!$C$7:$J$407,2)</f>
        <v>No treatment</v>
      </c>
      <c r="AA129" s="495">
        <f t="shared" si="70"/>
        <v>0</v>
      </c>
      <c r="AB129" s="433">
        <f>VLOOKUP(Y129,Treatments!$C$7:$J$407,8)</f>
        <v>0</v>
      </c>
      <c r="AC129" s="495">
        <f t="shared" si="71"/>
        <v>0</v>
      </c>
      <c r="AD129" s="496">
        <f t="shared" si="71"/>
        <v>0</v>
      </c>
      <c r="AE129" s="433">
        <f t="shared" si="72"/>
        <v>0</v>
      </c>
      <c r="AF129" s="411">
        <f t="shared" si="73"/>
        <v>0</v>
      </c>
      <c r="AI129" s="447">
        <f t="shared" si="61"/>
        <v>0</v>
      </c>
      <c r="AJ129" s="491" t="str">
        <f>VLOOKUP(AI129,Treatments!$C$7:$J$407,2)</f>
        <v>No treatment</v>
      </c>
      <c r="AK129" s="495">
        <f t="shared" si="62"/>
        <v>0</v>
      </c>
      <c r="AL129" s="433">
        <f>VLOOKUP(AI129,Treatments!$C$7:$J$407,8)</f>
        <v>0</v>
      </c>
      <c r="AM129" s="495">
        <f t="shared" si="63"/>
        <v>0</v>
      </c>
      <c r="AN129" s="498"/>
      <c r="AO129" s="496">
        <f t="shared" si="64"/>
        <v>0</v>
      </c>
      <c r="AP129" s="433">
        <f t="shared" si="68"/>
        <v>0</v>
      </c>
      <c r="AQ129" s="411">
        <f t="shared" si="65"/>
        <v>0</v>
      </c>
      <c r="AR129" s="1"/>
    </row>
    <row r="130" spans="2:44" ht="15.75" x14ac:dyDescent="0.25">
      <c r="B130" s="305"/>
      <c r="C130" s="491" t="str">
        <f>IF(B130&lt;=0,"",VLOOKUP(B130,Treatments!$C$7:$J$407,2))</f>
        <v/>
      </c>
      <c r="D130" s="306"/>
      <c r="E130" s="433">
        <f>VLOOKUP(B130,Treatments!$C$7:$J$407,8)</f>
        <v>0</v>
      </c>
      <c r="F130" s="305"/>
      <c r="G130" s="493"/>
      <c r="H130" s="433">
        <f t="shared" si="69"/>
        <v>0</v>
      </c>
      <c r="I130" s="411">
        <f t="shared" si="74"/>
        <v>0</v>
      </c>
      <c r="L130" s="1"/>
      <c r="M130" s="1"/>
      <c r="N130" s="1"/>
      <c r="O130" s="1"/>
      <c r="P130" s="1"/>
      <c r="Q130" s="1"/>
      <c r="R130" s="6"/>
      <c r="S130" s="1"/>
      <c r="T130" s="1"/>
      <c r="U130" s="1"/>
      <c r="Y130" s="447">
        <f t="shared" si="75"/>
        <v>0</v>
      </c>
      <c r="Z130" s="491" t="str">
        <f>VLOOKUP(Y130,Treatments!$C$7:$J$407,2)</f>
        <v>No treatment</v>
      </c>
      <c r="AA130" s="495">
        <f t="shared" si="70"/>
        <v>0</v>
      </c>
      <c r="AB130" s="433">
        <f>VLOOKUP(Y130,Treatments!$C$7:$J$407,8)</f>
        <v>0</v>
      </c>
      <c r="AC130" s="495">
        <f t="shared" si="71"/>
        <v>0</v>
      </c>
      <c r="AD130" s="496">
        <f t="shared" si="71"/>
        <v>0</v>
      </c>
      <c r="AE130" s="433">
        <f t="shared" si="72"/>
        <v>0</v>
      </c>
      <c r="AF130" s="411">
        <f t="shared" si="73"/>
        <v>0</v>
      </c>
      <c r="AI130" s="509"/>
      <c r="AJ130" s="1"/>
      <c r="AK130" s="1"/>
      <c r="AL130" s="1"/>
      <c r="AM130" s="1"/>
      <c r="AN130" s="1"/>
      <c r="AO130" s="6"/>
      <c r="AP130" s="1"/>
      <c r="AQ130" s="1"/>
      <c r="AR130" s="1"/>
    </row>
    <row r="131" spans="2:44" ht="15.75" x14ac:dyDescent="0.25">
      <c r="B131" s="305"/>
      <c r="C131" s="491" t="str">
        <f>IF(B131&lt;=0,"",VLOOKUP(B131,Treatments!$C$7:$J$407,2))</f>
        <v/>
      </c>
      <c r="D131" s="306"/>
      <c r="E131" s="433">
        <f>VLOOKUP(B131,Treatments!$C$7:$J$407,8)</f>
        <v>0</v>
      </c>
      <c r="F131" s="305"/>
      <c r="G131" s="493"/>
      <c r="H131" s="433">
        <f t="shared" si="69"/>
        <v>0</v>
      </c>
      <c r="I131" s="411">
        <f t="shared" si="74"/>
        <v>0</v>
      </c>
      <c r="L131" s="482" t="s">
        <v>994</v>
      </c>
      <c r="M131" s="483" t="s">
        <v>581</v>
      </c>
      <c r="N131" s="484" t="s">
        <v>616</v>
      </c>
      <c r="O131" s="482" t="s">
        <v>619</v>
      </c>
      <c r="P131" s="485" t="s">
        <v>617</v>
      </c>
      <c r="Q131" s="482"/>
      <c r="R131" s="485" t="s">
        <v>618</v>
      </c>
      <c r="S131" s="487"/>
      <c r="T131" s="487"/>
      <c r="U131" s="1"/>
      <c r="Y131" s="447">
        <f t="shared" si="75"/>
        <v>0</v>
      </c>
      <c r="Z131" s="491" t="str">
        <f>VLOOKUP(Y131,Treatments!$C$7:$J$407,2)</f>
        <v>No treatment</v>
      </c>
      <c r="AA131" s="495">
        <f t="shared" si="70"/>
        <v>0</v>
      </c>
      <c r="AB131" s="433">
        <f>VLOOKUP(Y131,Treatments!$C$7:$J$407,8)</f>
        <v>0</v>
      </c>
      <c r="AC131" s="495">
        <f t="shared" si="71"/>
        <v>0</v>
      </c>
      <c r="AD131" s="496">
        <f t="shared" si="71"/>
        <v>0</v>
      </c>
      <c r="AE131" s="433">
        <f t="shared" si="72"/>
        <v>0</v>
      </c>
      <c r="AF131" s="411">
        <f t="shared" si="73"/>
        <v>0</v>
      </c>
      <c r="AI131" s="499" t="s">
        <v>994</v>
      </c>
      <c r="AJ131" s="5" t="s">
        <v>581</v>
      </c>
      <c r="AK131" s="14" t="s">
        <v>616</v>
      </c>
      <c r="AL131" s="6" t="s">
        <v>619</v>
      </c>
      <c r="AM131" s="1" t="s">
        <v>617</v>
      </c>
      <c r="AN131" s="6"/>
      <c r="AO131" s="1" t="s">
        <v>618</v>
      </c>
      <c r="AP131" s="500"/>
      <c r="AQ131" s="62"/>
      <c r="AR131" s="1"/>
    </row>
    <row r="132" spans="2:44" ht="15.75" x14ac:dyDescent="0.25">
      <c r="B132" s="305"/>
      <c r="C132" s="491" t="str">
        <f>IF(B132&lt;=0,"",VLOOKUP(B132,Treatments!$C$7:$J$407,2))</f>
        <v/>
      </c>
      <c r="D132" s="306"/>
      <c r="E132" s="433">
        <f>VLOOKUP(B132,Treatments!$C$7:$J$407,8)</f>
        <v>0</v>
      </c>
      <c r="F132" s="305"/>
      <c r="G132" s="493"/>
      <c r="H132" s="433">
        <f t="shared" si="69"/>
        <v>0</v>
      </c>
      <c r="I132" s="411">
        <f t="shared" si="74"/>
        <v>0</v>
      </c>
      <c r="L132" s="305"/>
      <c r="M132" s="491" t="str">
        <f>VLOOKUP(L132,Treatments!$C$7:$J$407,2)</f>
        <v>No treatment</v>
      </c>
      <c r="N132" s="306"/>
      <c r="O132" s="433">
        <f>VLOOKUP(L132,Treatments!$C$7:$J$407,8)</f>
        <v>0</v>
      </c>
      <c r="P132" s="305"/>
      <c r="Q132" s="494"/>
      <c r="R132" s="308"/>
      <c r="S132" s="433">
        <f t="shared" ref="S132:S137" si="76">N132*O132*P132*R132</f>
        <v>0</v>
      </c>
      <c r="T132" s="411">
        <f t="shared" ref="T132:T138" si="77">S132*$D$9</f>
        <v>0</v>
      </c>
      <c r="U132" s="1"/>
      <c r="Y132" s="447">
        <f t="shared" si="75"/>
        <v>0</v>
      </c>
      <c r="Z132" s="491" t="str">
        <f>VLOOKUP(Y132,Treatments!$C$7:$J$407,2)</f>
        <v>No treatment</v>
      </c>
      <c r="AA132" s="495">
        <f t="shared" si="70"/>
        <v>0</v>
      </c>
      <c r="AB132" s="433">
        <f>VLOOKUP(Y132,Treatments!$C$7:$J$407,8)</f>
        <v>0</v>
      </c>
      <c r="AC132" s="495">
        <f t="shared" si="71"/>
        <v>0</v>
      </c>
      <c r="AD132" s="496">
        <f t="shared" si="71"/>
        <v>0</v>
      </c>
      <c r="AE132" s="433">
        <f t="shared" si="72"/>
        <v>0</v>
      </c>
      <c r="AF132" s="411">
        <f t="shared" si="73"/>
        <v>0</v>
      </c>
      <c r="AI132" s="447">
        <f t="shared" ref="AI132:AI137" si="78">IF(AND(L132&gt;=344,L132&lt;=358),L132+15,L132)</f>
        <v>0</v>
      </c>
      <c r="AJ132" s="491" t="str">
        <f>VLOOKUP(AI132,Treatments!$C$7:$J$407,2)</f>
        <v>No treatment</v>
      </c>
      <c r="AK132" s="495">
        <f t="shared" ref="AK132:AK137" si="79">N132</f>
        <v>0</v>
      </c>
      <c r="AL132" s="433">
        <f>VLOOKUP(AI132,Treatments!$C$7:$J$407,8)</f>
        <v>0</v>
      </c>
      <c r="AM132" s="495">
        <f t="shared" ref="AM132:AM137" si="80">P132</f>
        <v>0</v>
      </c>
      <c r="AN132" s="494"/>
      <c r="AO132" s="496">
        <f t="shared" ref="AO132:AO137" si="81">R132</f>
        <v>0</v>
      </c>
      <c r="AP132" s="433">
        <f t="shared" ref="AP132:AP137" si="82">AK132*AL132*AM132*AO132</f>
        <v>0</v>
      </c>
      <c r="AQ132" s="411">
        <f t="shared" ref="AQ132:AQ137" si="83">AP132*$D$9</f>
        <v>0</v>
      </c>
      <c r="AR132" s="1"/>
    </row>
    <row r="133" spans="2:44" ht="15.75" x14ac:dyDescent="0.25">
      <c r="B133" s="305"/>
      <c r="C133" s="491" t="str">
        <f>IF(B133&lt;=0,"",VLOOKUP(B133,Treatments!$C$7:$J$407,2))</f>
        <v/>
      </c>
      <c r="D133" s="306"/>
      <c r="E133" s="433">
        <f>VLOOKUP(B133,Treatments!$C$7:$J$407,8)</f>
        <v>0</v>
      </c>
      <c r="F133" s="305"/>
      <c r="G133" s="493"/>
      <c r="H133" s="433">
        <f t="shared" si="69"/>
        <v>0</v>
      </c>
      <c r="I133" s="411">
        <f t="shared" si="74"/>
        <v>0</v>
      </c>
      <c r="L133" s="305"/>
      <c r="M133" s="491" t="str">
        <f>VLOOKUP(L133,Treatments!$C$7:$J$407,2)</f>
        <v>No treatment</v>
      </c>
      <c r="N133" s="306"/>
      <c r="O133" s="433">
        <f>VLOOKUP(L133,Treatments!$C$7:$J$407,8)</f>
        <v>0</v>
      </c>
      <c r="P133" s="305"/>
      <c r="Q133" s="160"/>
      <c r="R133" s="308"/>
      <c r="S133" s="433">
        <f t="shared" si="76"/>
        <v>0</v>
      </c>
      <c r="T133" s="411">
        <f t="shared" si="77"/>
        <v>0</v>
      </c>
      <c r="U133" s="1"/>
      <c r="Y133" s="447">
        <f t="shared" si="75"/>
        <v>0</v>
      </c>
      <c r="Z133" s="491" t="str">
        <f>VLOOKUP(Y133,Treatments!$C$7:$J$407,2)</f>
        <v>No treatment</v>
      </c>
      <c r="AA133" s="495">
        <f t="shared" si="70"/>
        <v>0</v>
      </c>
      <c r="AB133" s="433">
        <f>VLOOKUP(Y133,Treatments!$C$7:$J$407,8)</f>
        <v>0</v>
      </c>
      <c r="AC133" s="495">
        <f t="shared" si="71"/>
        <v>0</v>
      </c>
      <c r="AD133" s="496">
        <f t="shared" si="71"/>
        <v>0</v>
      </c>
      <c r="AE133" s="433">
        <f t="shared" si="72"/>
        <v>0</v>
      </c>
      <c r="AF133" s="411">
        <f t="shared" si="73"/>
        <v>0</v>
      </c>
      <c r="AI133" s="447">
        <f t="shared" si="78"/>
        <v>0</v>
      </c>
      <c r="AJ133" s="491" t="str">
        <f>VLOOKUP(AI133,Treatments!$C$7:$J$407,2)</f>
        <v>No treatment</v>
      </c>
      <c r="AK133" s="495">
        <f t="shared" si="79"/>
        <v>0</v>
      </c>
      <c r="AL133" s="433">
        <f>VLOOKUP(AI133,Treatments!$C$7:$J$407,8)</f>
        <v>0</v>
      </c>
      <c r="AM133" s="495">
        <f t="shared" si="80"/>
        <v>0</v>
      </c>
      <c r="AN133" s="160"/>
      <c r="AO133" s="496">
        <f t="shared" si="81"/>
        <v>0</v>
      </c>
      <c r="AP133" s="433">
        <f t="shared" si="82"/>
        <v>0</v>
      </c>
      <c r="AQ133" s="411">
        <f t="shared" si="83"/>
        <v>0</v>
      </c>
      <c r="AR133" s="1"/>
    </row>
    <row r="134" spans="2:44" ht="15.75" x14ac:dyDescent="0.25">
      <c r="B134" s="305"/>
      <c r="C134" s="491" t="str">
        <f>IF(B134&lt;=0,"",VLOOKUP(B134,Treatments!$C$7:$J$407,2))</f>
        <v/>
      </c>
      <c r="D134" s="306"/>
      <c r="E134" s="433">
        <f>VLOOKUP(B134,Treatments!$C$7:$J$407,8)</f>
        <v>0</v>
      </c>
      <c r="F134" s="305"/>
      <c r="G134" s="493"/>
      <c r="H134" s="433">
        <f t="shared" si="69"/>
        <v>0</v>
      </c>
      <c r="I134" s="411">
        <f t="shared" si="74"/>
        <v>0</v>
      </c>
      <c r="L134" s="305"/>
      <c r="M134" s="491" t="str">
        <f>VLOOKUP(L134,Treatments!$C$7:$J$407,2)</f>
        <v>No treatment</v>
      </c>
      <c r="N134" s="306"/>
      <c r="O134" s="433">
        <f>VLOOKUP(L134,Treatments!$C$7:$J$407,8)</f>
        <v>0</v>
      </c>
      <c r="P134" s="305"/>
      <c r="Q134" s="160"/>
      <c r="R134" s="308"/>
      <c r="S134" s="433">
        <f t="shared" si="76"/>
        <v>0</v>
      </c>
      <c r="T134" s="411">
        <f t="shared" si="77"/>
        <v>0</v>
      </c>
      <c r="U134" s="1"/>
      <c r="Y134" s="447">
        <f t="shared" si="75"/>
        <v>0</v>
      </c>
      <c r="Z134" s="491" t="str">
        <f>VLOOKUP(Y134,Treatments!$C$7:$J$407,2)</f>
        <v>No treatment</v>
      </c>
      <c r="AA134" s="495">
        <f t="shared" si="70"/>
        <v>0</v>
      </c>
      <c r="AB134" s="433">
        <f>VLOOKUP(Y134,Treatments!$C$7:$J$407,8)</f>
        <v>0</v>
      </c>
      <c r="AC134" s="495">
        <f t="shared" si="71"/>
        <v>0</v>
      </c>
      <c r="AD134" s="496">
        <f t="shared" si="71"/>
        <v>0</v>
      </c>
      <c r="AE134" s="433">
        <f t="shared" si="72"/>
        <v>0</v>
      </c>
      <c r="AF134" s="411">
        <f t="shared" si="73"/>
        <v>0</v>
      </c>
      <c r="AI134" s="447">
        <f t="shared" si="78"/>
        <v>0</v>
      </c>
      <c r="AJ134" s="491" t="str">
        <f>VLOOKUP(AI134,Treatments!$C$7:$J$407,2)</f>
        <v>No treatment</v>
      </c>
      <c r="AK134" s="495">
        <f t="shared" si="79"/>
        <v>0</v>
      </c>
      <c r="AL134" s="433">
        <f>VLOOKUP(AI134,Treatments!$C$7:$J$407,8)</f>
        <v>0</v>
      </c>
      <c r="AM134" s="495">
        <f t="shared" si="80"/>
        <v>0</v>
      </c>
      <c r="AN134" s="160"/>
      <c r="AO134" s="496">
        <f t="shared" si="81"/>
        <v>0</v>
      </c>
      <c r="AP134" s="433">
        <f t="shared" si="82"/>
        <v>0</v>
      </c>
      <c r="AQ134" s="411">
        <f t="shared" si="83"/>
        <v>0</v>
      </c>
      <c r="AR134" s="1"/>
    </row>
    <row r="135" spans="2:44" ht="15.75" x14ac:dyDescent="0.25">
      <c r="B135" s="305"/>
      <c r="C135" s="491" t="str">
        <f>IF(B135&lt;=0,"",VLOOKUP(B135,Treatments!$C$7:$J$407,2))</f>
        <v/>
      </c>
      <c r="D135" s="306"/>
      <c r="E135" s="433">
        <f>VLOOKUP(B135,Treatments!$C$7:$J$407,8)</f>
        <v>0</v>
      </c>
      <c r="F135" s="305"/>
      <c r="G135" s="493"/>
      <c r="H135" s="433">
        <f t="shared" si="69"/>
        <v>0</v>
      </c>
      <c r="I135" s="411">
        <f t="shared" si="74"/>
        <v>0</v>
      </c>
      <c r="L135" s="305"/>
      <c r="M135" s="491" t="str">
        <f>VLOOKUP(L135,Treatments!$C$7:$J$407,2)</f>
        <v>No treatment</v>
      </c>
      <c r="N135" s="306"/>
      <c r="O135" s="433">
        <f>VLOOKUP(L135,Treatments!$C$7:$J$407,8)</f>
        <v>0</v>
      </c>
      <c r="P135" s="305"/>
      <c r="Q135" s="160"/>
      <c r="R135" s="308"/>
      <c r="S135" s="433">
        <f t="shared" si="76"/>
        <v>0</v>
      </c>
      <c r="T135" s="411">
        <f t="shared" si="77"/>
        <v>0</v>
      </c>
      <c r="U135" s="1"/>
      <c r="Y135" s="447">
        <f t="shared" si="75"/>
        <v>0</v>
      </c>
      <c r="Z135" s="491" t="str">
        <f>VLOOKUP(Y135,Treatments!$C$7:$J$407,2)</f>
        <v>No treatment</v>
      </c>
      <c r="AA135" s="495">
        <f t="shared" si="70"/>
        <v>0</v>
      </c>
      <c r="AB135" s="433">
        <f>VLOOKUP(Y135,Treatments!$C$7:$J$407,8)</f>
        <v>0</v>
      </c>
      <c r="AC135" s="495">
        <f t="shared" si="71"/>
        <v>0</v>
      </c>
      <c r="AD135" s="496">
        <f t="shared" si="71"/>
        <v>0</v>
      </c>
      <c r="AE135" s="433">
        <f t="shared" si="72"/>
        <v>0</v>
      </c>
      <c r="AF135" s="411">
        <f t="shared" si="73"/>
        <v>0</v>
      </c>
      <c r="AI135" s="447">
        <f t="shared" si="78"/>
        <v>0</v>
      </c>
      <c r="AJ135" s="491" t="str">
        <f>VLOOKUP(AI135,Treatments!$C$7:$J$407,2)</f>
        <v>No treatment</v>
      </c>
      <c r="AK135" s="495">
        <f t="shared" si="79"/>
        <v>0</v>
      </c>
      <c r="AL135" s="433">
        <f>VLOOKUP(AI135,Treatments!$C$7:$J$407,8)</f>
        <v>0</v>
      </c>
      <c r="AM135" s="495">
        <f t="shared" si="80"/>
        <v>0</v>
      </c>
      <c r="AN135" s="160"/>
      <c r="AO135" s="496">
        <f t="shared" si="81"/>
        <v>0</v>
      </c>
      <c r="AP135" s="433">
        <f t="shared" si="82"/>
        <v>0</v>
      </c>
      <c r="AQ135" s="411">
        <f t="shared" si="83"/>
        <v>0</v>
      </c>
      <c r="AR135" s="1"/>
    </row>
    <row r="136" spans="2:44" ht="15.75" x14ac:dyDescent="0.25">
      <c r="B136" s="305"/>
      <c r="C136" s="491" t="str">
        <f>IF(B136&lt;=0,"",VLOOKUP(B136,Treatments!$C$7:$J$407,2))</f>
        <v/>
      </c>
      <c r="D136" s="306"/>
      <c r="E136" s="433">
        <f>VLOOKUP(B136,Treatments!$C$7:$J$407,8)</f>
        <v>0</v>
      </c>
      <c r="F136" s="305"/>
      <c r="G136" s="493"/>
      <c r="H136" s="433">
        <f t="shared" si="69"/>
        <v>0</v>
      </c>
      <c r="I136" s="411">
        <f t="shared" si="74"/>
        <v>0</v>
      </c>
      <c r="L136" s="435"/>
      <c r="M136" s="491" t="str">
        <f>VLOOKUP(L136,Treatments!$C$7:$J$407,2)</f>
        <v>No treatment</v>
      </c>
      <c r="N136" s="492"/>
      <c r="O136" s="433">
        <f>VLOOKUP(L136,Treatments!$C$7:$J$407,8)</f>
        <v>0</v>
      </c>
      <c r="P136" s="435"/>
      <c r="Q136" s="160"/>
      <c r="R136" s="308"/>
      <c r="S136" s="433">
        <f t="shared" si="76"/>
        <v>0</v>
      </c>
      <c r="T136" s="411">
        <f t="shared" si="77"/>
        <v>0</v>
      </c>
      <c r="U136" s="1"/>
      <c r="Y136" s="447">
        <f t="shared" si="75"/>
        <v>0</v>
      </c>
      <c r="Z136" s="491" t="str">
        <f>VLOOKUP(Y136,Treatments!$C$7:$J$407,2)</f>
        <v>No treatment</v>
      </c>
      <c r="AA136" s="495">
        <f t="shared" si="70"/>
        <v>0</v>
      </c>
      <c r="AB136" s="433">
        <f>VLOOKUP(Y136,Treatments!$C$7:$J$407,8)</f>
        <v>0</v>
      </c>
      <c r="AC136" s="495">
        <f t="shared" si="71"/>
        <v>0</v>
      </c>
      <c r="AD136" s="496">
        <f t="shared" si="71"/>
        <v>0</v>
      </c>
      <c r="AE136" s="433">
        <f t="shared" si="72"/>
        <v>0</v>
      </c>
      <c r="AF136" s="411">
        <f t="shared" si="73"/>
        <v>0</v>
      </c>
      <c r="AI136" s="447">
        <f t="shared" si="78"/>
        <v>0</v>
      </c>
      <c r="AJ136" s="491" t="str">
        <f>VLOOKUP(AI136,Treatments!$C$7:$J$407,2)</f>
        <v>No treatment</v>
      </c>
      <c r="AK136" s="495">
        <f t="shared" si="79"/>
        <v>0</v>
      </c>
      <c r="AL136" s="433">
        <f>VLOOKUP(AI136,Treatments!$C$7:$J$407,8)</f>
        <v>0</v>
      </c>
      <c r="AM136" s="495">
        <f t="shared" si="80"/>
        <v>0</v>
      </c>
      <c r="AN136" s="160"/>
      <c r="AO136" s="496">
        <f t="shared" si="81"/>
        <v>0</v>
      </c>
      <c r="AP136" s="433">
        <f t="shared" si="82"/>
        <v>0</v>
      </c>
      <c r="AQ136" s="411">
        <f t="shared" si="83"/>
        <v>0</v>
      </c>
      <c r="AR136" s="1"/>
    </row>
    <row r="137" spans="2:44" ht="15.75" x14ac:dyDescent="0.25">
      <c r="B137" s="305"/>
      <c r="C137" s="491" t="str">
        <f>IF(B137&lt;=0,"",VLOOKUP(B137,Treatments!$C$7:$J$407,2))</f>
        <v/>
      </c>
      <c r="D137" s="306"/>
      <c r="E137" s="433">
        <f>VLOOKUP(B137,Treatments!$C$7:$J$407,8)</f>
        <v>0</v>
      </c>
      <c r="F137" s="305"/>
      <c r="G137" s="493"/>
      <c r="H137" s="433">
        <f t="shared" si="69"/>
        <v>0</v>
      </c>
      <c r="I137" s="411">
        <f t="shared" si="74"/>
        <v>0</v>
      </c>
      <c r="L137" s="435"/>
      <c r="M137" s="491" t="str">
        <f>VLOOKUP(L137,Treatments!$C$7:$J$407,2)</f>
        <v>No treatment</v>
      </c>
      <c r="N137" s="492"/>
      <c r="O137" s="433">
        <f>VLOOKUP(L137,Treatments!$C$7:$J$407,8)</f>
        <v>0</v>
      </c>
      <c r="P137" s="435"/>
      <c r="Q137" s="498"/>
      <c r="R137" s="493"/>
      <c r="S137" s="433">
        <f t="shared" si="76"/>
        <v>0</v>
      </c>
      <c r="T137" s="411">
        <f t="shared" si="77"/>
        <v>0</v>
      </c>
      <c r="U137" s="1"/>
      <c r="Y137" s="447">
        <f t="shared" si="75"/>
        <v>0</v>
      </c>
      <c r="Z137" s="491" t="str">
        <f>VLOOKUP(Y137,Treatments!$C$7:$J$407,2)</f>
        <v>No treatment</v>
      </c>
      <c r="AA137" s="495">
        <f t="shared" si="70"/>
        <v>0</v>
      </c>
      <c r="AB137" s="433">
        <f>VLOOKUP(Y137,Treatments!$C$7:$J$407,8)</f>
        <v>0</v>
      </c>
      <c r="AC137" s="495">
        <f t="shared" si="71"/>
        <v>0</v>
      </c>
      <c r="AD137" s="496">
        <f t="shared" si="71"/>
        <v>0</v>
      </c>
      <c r="AE137" s="433">
        <f t="shared" si="72"/>
        <v>0</v>
      </c>
      <c r="AF137" s="411">
        <f t="shared" si="73"/>
        <v>0</v>
      </c>
      <c r="AI137" s="447">
        <f t="shared" si="78"/>
        <v>0</v>
      </c>
      <c r="AJ137" s="491" t="str">
        <f>VLOOKUP(AI137,Treatments!$C$7:$J$407,2)</f>
        <v>No treatment</v>
      </c>
      <c r="AK137" s="495">
        <f t="shared" si="79"/>
        <v>0</v>
      </c>
      <c r="AL137" s="433">
        <f>VLOOKUP(AI137,Treatments!$C$7:$J$407,8)</f>
        <v>0</v>
      </c>
      <c r="AM137" s="495">
        <f t="shared" si="80"/>
        <v>0</v>
      </c>
      <c r="AN137" s="498"/>
      <c r="AO137" s="496">
        <f t="shared" si="81"/>
        <v>0</v>
      </c>
      <c r="AP137" s="433">
        <f t="shared" si="82"/>
        <v>0</v>
      </c>
      <c r="AQ137" s="411">
        <f t="shared" si="83"/>
        <v>0</v>
      </c>
      <c r="AR137" s="1"/>
    </row>
    <row r="138" spans="2:44" ht="15.75" x14ac:dyDescent="0.25">
      <c r="B138" s="305"/>
      <c r="C138" s="491" t="str">
        <f>IF(B138&lt;=0,"",VLOOKUP(B138,Treatments!$C$7:$J$407,2))</f>
        <v/>
      </c>
      <c r="D138" s="306"/>
      <c r="E138" s="433">
        <f>VLOOKUP(B138,Treatments!$C$7:$J$407,8)</f>
        <v>0</v>
      </c>
      <c r="F138" s="305"/>
      <c r="G138" s="493"/>
      <c r="H138" s="433">
        <f t="shared" si="69"/>
        <v>0</v>
      </c>
      <c r="I138" s="411">
        <f t="shared" si="74"/>
        <v>0</v>
      </c>
      <c r="L138" s="1"/>
      <c r="M138" s="14"/>
      <c r="N138" s="13" t="s">
        <v>584</v>
      </c>
      <c r="O138" s="6"/>
      <c r="P138" s="1"/>
      <c r="Q138" s="6"/>
      <c r="R138" s="1"/>
      <c r="S138" s="510">
        <f>SUM(S110:S137)</f>
        <v>0</v>
      </c>
      <c r="T138" s="411">
        <f t="shared" si="77"/>
        <v>0</v>
      </c>
      <c r="U138" s="1"/>
      <c r="Y138" s="447">
        <f t="shared" si="75"/>
        <v>0</v>
      </c>
      <c r="Z138" s="491" t="str">
        <f>VLOOKUP(Y138,Treatments!$C$7:$J$407,2)</f>
        <v>No treatment</v>
      </c>
      <c r="AA138" s="495">
        <f t="shared" si="70"/>
        <v>0</v>
      </c>
      <c r="AB138" s="433">
        <f>VLOOKUP(Y138,Treatments!$C$7:$J$407,8)</f>
        <v>0</v>
      </c>
      <c r="AC138" s="495">
        <f t="shared" si="71"/>
        <v>0</v>
      </c>
      <c r="AD138" s="496">
        <f t="shared" si="71"/>
        <v>0</v>
      </c>
      <c r="AE138" s="433">
        <f t="shared" si="72"/>
        <v>0</v>
      </c>
      <c r="AF138" s="411">
        <f t="shared" si="73"/>
        <v>0</v>
      </c>
      <c r="AI138" s="1"/>
      <c r="AJ138" s="14"/>
      <c r="AK138" s="13" t="s">
        <v>584</v>
      </c>
      <c r="AL138" s="6"/>
      <c r="AM138" s="1"/>
      <c r="AN138" s="6"/>
      <c r="AO138" s="1"/>
      <c r="AP138" s="510">
        <f>SUM(AP110:AP137)</f>
        <v>0</v>
      </c>
      <c r="AQ138" s="510">
        <f>SUM(AQ110:AQ137)</f>
        <v>0</v>
      </c>
      <c r="AR138" s="1"/>
    </row>
    <row r="139" spans="2:44" ht="15.75" x14ac:dyDescent="0.25">
      <c r="B139" s="304"/>
      <c r="C139" s="1"/>
      <c r="D139" s="304"/>
      <c r="E139" s="1"/>
      <c r="F139" s="304"/>
      <c r="G139" s="6"/>
      <c r="H139" s="1"/>
      <c r="I139" s="1"/>
      <c r="L139" s="1"/>
      <c r="M139" s="1"/>
      <c r="N139" s="1"/>
      <c r="O139" s="1"/>
      <c r="P139" s="1"/>
      <c r="Q139" s="1"/>
      <c r="R139" s="1"/>
      <c r="S139" s="1"/>
      <c r="T139" s="1"/>
      <c r="U139" s="1"/>
      <c r="Y139" s="1"/>
      <c r="Z139" s="1"/>
      <c r="AA139" s="6"/>
      <c r="AB139" s="6"/>
      <c r="AC139" s="6"/>
      <c r="AD139" s="6"/>
      <c r="AE139" s="6"/>
      <c r="AF139" s="6"/>
      <c r="AI139" s="1"/>
      <c r="AJ139" s="1"/>
      <c r="AK139" s="1"/>
      <c r="AL139" s="1"/>
      <c r="AM139" s="1"/>
      <c r="AN139" s="1"/>
      <c r="AO139" s="1"/>
      <c r="AP139" s="1"/>
      <c r="AQ139" s="1"/>
      <c r="AR139" s="1"/>
    </row>
    <row r="140" spans="2:44" ht="15.75" x14ac:dyDescent="0.25">
      <c r="B140" s="379" t="s">
        <v>994</v>
      </c>
      <c r="C140" s="502" t="s">
        <v>581</v>
      </c>
      <c r="D140" s="381" t="s">
        <v>616</v>
      </c>
      <c r="E140" s="501" t="s">
        <v>619</v>
      </c>
      <c r="F140" s="382" t="s">
        <v>617</v>
      </c>
      <c r="G140" s="504" t="s">
        <v>618</v>
      </c>
      <c r="H140" s="505"/>
      <c r="I140" s="506"/>
      <c r="L140" s="1"/>
      <c r="M140" s="1"/>
      <c r="N140" s="1"/>
      <c r="O140" s="1"/>
      <c r="P140" s="1"/>
      <c r="Q140" s="1"/>
      <c r="R140" s="1"/>
      <c r="S140" s="511"/>
      <c r="T140" s="512"/>
      <c r="U140" s="1"/>
      <c r="Y140" s="6" t="s">
        <v>994</v>
      </c>
      <c r="Z140" s="5" t="s">
        <v>581</v>
      </c>
      <c r="AA140" s="6" t="s">
        <v>616</v>
      </c>
      <c r="AB140" s="6" t="s">
        <v>619</v>
      </c>
      <c r="AC140" s="6" t="s">
        <v>617</v>
      </c>
      <c r="AD140" s="6" t="s">
        <v>618</v>
      </c>
      <c r="AE140" s="507"/>
      <c r="AF140" s="508"/>
      <c r="AI140" s="1"/>
      <c r="AJ140" s="1"/>
      <c r="AK140" s="1"/>
      <c r="AL140" s="1"/>
      <c r="AM140" s="1"/>
      <c r="AN140" s="1"/>
      <c r="AO140" s="1"/>
      <c r="AP140" s="511"/>
      <c r="AQ140" s="512"/>
      <c r="AR140" s="1"/>
    </row>
    <row r="141" spans="2:44" ht="15.75" x14ac:dyDescent="0.25">
      <c r="B141" s="305"/>
      <c r="C141" s="491" t="str">
        <f>IF(B141&lt;=0,"",VLOOKUP(B141,Treatments!$C$7:$J$407,2))</f>
        <v/>
      </c>
      <c r="D141" s="306"/>
      <c r="E141" s="433">
        <f>VLOOKUP(B141,Treatments!$C$7:$J$407,8)</f>
        <v>0</v>
      </c>
      <c r="F141" s="305"/>
      <c r="G141" s="308"/>
      <c r="H141" s="433">
        <f t="shared" ref="H141:H147" si="84">D141*E141*F141*G141</f>
        <v>0</v>
      </c>
      <c r="I141" s="411">
        <f>H141*$D$9</f>
        <v>0</v>
      </c>
      <c r="L141" s="1"/>
      <c r="N141" s="1"/>
      <c r="O141" s="1"/>
      <c r="P141" s="1"/>
      <c r="Q141" s="1"/>
      <c r="R141" s="12" t="s">
        <v>794</v>
      </c>
      <c r="S141" s="513"/>
      <c r="T141" s="510">
        <f>S141*$D$9</f>
        <v>0</v>
      </c>
      <c r="U141" s="1"/>
      <c r="Y141" s="447">
        <f t="shared" ref="Y141:Y146" si="85">IF(AND(B141&gt;=344,B141&lt;=358),B141+15,B141)</f>
        <v>0</v>
      </c>
      <c r="Z141" s="491" t="str">
        <f>VLOOKUP(Y141,Treatments!$C$7:$J$407,2)</f>
        <v>No treatment</v>
      </c>
      <c r="AA141" s="495">
        <f>D141</f>
        <v>0</v>
      </c>
      <c r="AB141" s="433">
        <f>VLOOKUP(Y141,Treatments!$C$7:$J$407,8)</f>
        <v>0</v>
      </c>
      <c r="AC141" s="495">
        <f>F141</f>
        <v>0</v>
      </c>
      <c r="AD141" s="496">
        <f t="shared" ref="AD141:AD147" si="86">G141</f>
        <v>0</v>
      </c>
      <c r="AE141" s="433">
        <f t="shared" ref="AE141:AE147" si="87">AA141*AB141*AC141*AD141</f>
        <v>0</v>
      </c>
      <c r="AF141" s="411">
        <f t="shared" ref="AF141:AF147" si="88">AE141*$D$9</f>
        <v>0</v>
      </c>
      <c r="AI141" s="1"/>
      <c r="AK141" s="1"/>
      <c r="AL141" s="1"/>
      <c r="AM141" s="1"/>
      <c r="AN141" s="1"/>
      <c r="AO141" s="12" t="s">
        <v>794</v>
      </c>
      <c r="AP141" s="510">
        <f>S141</f>
        <v>0</v>
      </c>
      <c r="AQ141" s="510">
        <f>AP141*$D$9</f>
        <v>0</v>
      </c>
      <c r="AR141" s="1"/>
    </row>
    <row r="142" spans="2:44" ht="15.75" x14ac:dyDescent="0.25">
      <c r="B142" s="305"/>
      <c r="C142" s="491" t="str">
        <f>IF(B142&lt;=0,"",VLOOKUP(B142,Treatments!$C$7:$J$407,2))</f>
        <v/>
      </c>
      <c r="D142" s="306"/>
      <c r="E142" s="433">
        <f>VLOOKUP(B142,Treatments!$C$7:$J$407,8)</f>
        <v>0</v>
      </c>
      <c r="F142" s="305"/>
      <c r="G142" s="308"/>
      <c r="H142" s="433">
        <f t="shared" si="84"/>
        <v>0</v>
      </c>
      <c r="I142" s="411">
        <f t="shared" ref="I142:I147" si="89">H142*$D$9</f>
        <v>0</v>
      </c>
      <c r="L142" s="1"/>
      <c r="M142" s="1"/>
      <c r="N142" s="1"/>
      <c r="O142" s="1"/>
      <c r="P142" s="1"/>
      <c r="Q142" s="12" t="s">
        <v>585</v>
      </c>
      <c r="R142" s="514">
        <v>0.05</v>
      </c>
      <c r="S142" s="510">
        <f>S141+S140+S138</f>
        <v>0</v>
      </c>
      <c r="T142" s="510">
        <f>T141+T140+T138</f>
        <v>0</v>
      </c>
      <c r="U142" s="1"/>
      <c r="Y142" s="447">
        <f t="shared" si="85"/>
        <v>0</v>
      </c>
      <c r="Z142" s="491" t="str">
        <f>VLOOKUP(Y142,Treatments!$C$7:$J$407,2)</f>
        <v>No treatment</v>
      </c>
      <c r="AA142" s="495">
        <f t="shared" ref="AA142:AA147" si="90">D142</f>
        <v>0</v>
      </c>
      <c r="AB142" s="433">
        <f>VLOOKUP(Y142,Treatments!$C$7:$J$407,8)</f>
        <v>0</v>
      </c>
      <c r="AC142" s="495">
        <f t="shared" ref="AC142:AC147" si="91">F142</f>
        <v>0</v>
      </c>
      <c r="AD142" s="496">
        <f t="shared" si="86"/>
        <v>0</v>
      </c>
      <c r="AE142" s="433">
        <f t="shared" si="87"/>
        <v>0</v>
      </c>
      <c r="AF142" s="411">
        <f t="shared" si="88"/>
        <v>0</v>
      </c>
      <c r="AI142" s="1"/>
      <c r="AJ142" s="1"/>
      <c r="AK142" s="1"/>
      <c r="AL142" s="1"/>
      <c r="AM142" s="1"/>
      <c r="AN142" s="12" t="s">
        <v>585</v>
      </c>
      <c r="AO142" s="496">
        <f>R142</f>
        <v>0.05</v>
      </c>
      <c r="AP142" s="510">
        <f>AP141+AP140+AP138</f>
        <v>0</v>
      </c>
      <c r="AQ142" s="510">
        <f>AQ141+AQ140+AQ138</f>
        <v>0</v>
      </c>
      <c r="AR142" s="1"/>
    </row>
    <row r="143" spans="2:44" ht="15.75" x14ac:dyDescent="0.25">
      <c r="B143" s="305"/>
      <c r="C143" s="491" t="str">
        <f>IF(B143&lt;=0,"",VLOOKUP(B143,Treatments!$C$7:$J$407,2))</f>
        <v/>
      </c>
      <c r="D143" s="306"/>
      <c r="E143" s="433">
        <f>VLOOKUP(B143,Treatments!$C$7:$J$407,8)</f>
        <v>0</v>
      </c>
      <c r="F143" s="305"/>
      <c r="G143" s="308"/>
      <c r="H143" s="433">
        <f t="shared" si="84"/>
        <v>0</v>
      </c>
      <c r="I143" s="411">
        <f t="shared" si="89"/>
        <v>0</v>
      </c>
      <c r="L143" s="1"/>
      <c r="N143" s="1"/>
      <c r="O143" s="17" t="s">
        <v>586</v>
      </c>
      <c r="P143" s="12" t="s">
        <v>587</v>
      </c>
      <c r="Q143" s="420">
        <v>30</v>
      </c>
      <c r="R143" s="1" t="s">
        <v>588</v>
      </c>
      <c r="S143" s="511">
        <f>PMT(R142,Q143,S142)*-1</f>
        <v>0</v>
      </c>
      <c r="T143" s="1" t="s">
        <v>589</v>
      </c>
      <c r="U143" s="1"/>
      <c r="Y143" s="447">
        <f t="shared" si="85"/>
        <v>0</v>
      </c>
      <c r="Z143" s="491" t="str">
        <f>VLOOKUP(Y143,Treatments!$C$7:$J$407,2)</f>
        <v>No treatment</v>
      </c>
      <c r="AA143" s="495">
        <f t="shared" si="90"/>
        <v>0</v>
      </c>
      <c r="AB143" s="433">
        <f>VLOOKUP(Y143,Treatments!$C$7:$J$407,8)</f>
        <v>0</v>
      </c>
      <c r="AC143" s="495">
        <f t="shared" si="91"/>
        <v>0</v>
      </c>
      <c r="AD143" s="496">
        <f t="shared" si="86"/>
        <v>0</v>
      </c>
      <c r="AE143" s="433">
        <f t="shared" si="87"/>
        <v>0</v>
      </c>
      <c r="AF143" s="411">
        <f t="shared" si="88"/>
        <v>0</v>
      </c>
      <c r="AI143" s="1"/>
      <c r="AK143" s="1"/>
      <c r="AL143" s="17" t="s">
        <v>586</v>
      </c>
      <c r="AM143" s="12" t="s">
        <v>587</v>
      </c>
      <c r="AN143" s="447">
        <f>Q143</f>
        <v>30</v>
      </c>
      <c r="AO143" s="1" t="s">
        <v>588</v>
      </c>
      <c r="AP143" s="511">
        <f>PMT(AO142,AN143,AP142)*-1</f>
        <v>0</v>
      </c>
      <c r="AQ143" s="1" t="s">
        <v>589</v>
      </c>
      <c r="AR143" s="1"/>
    </row>
    <row r="144" spans="2:44" ht="15.75" x14ac:dyDescent="0.25">
      <c r="B144" s="305"/>
      <c r="C144" s="491" t="str">
        <f>IF(B144&lt;=0,"",VLOOKUP(B144,Treatments!$C$7:$J$407,2))</f>
        <v/>
      </c>
      <c r="D144" s="306"/>
      <c r="E144" s="433">
        <f>VLOOKUP(B144,Treatments!$C$7:$J$407,8)</f>
        <v>0</v>
      </c>
      <c r="F144" s="305"/>
      <c r="G144" s="493"/>
      <c r="H144" s="433">
        <f t="shared" si="84"/>
        <v>0</v>
      </c>
      <c r="I144" s="411">
        <f t="shared" si="89"/>
        <v>0</v>
      </c>
      <c r="L144" s="1"/>
      <c r="N144" s="1"/>
      <c r="T144" s="1"/>
      <c r="U144" s="1"/>
      <c r="Y144" s="447">
        <f t="shared" si="85"/>
        <v>0</v>
      </c>
      <c r="Z144" s="491" t="str">
        <f>VLOOKUP(Y144,Treatments!$C$7:$J$407,2)</f>
        <v>No treatment</v>
      </c>
      <c r="AA144" s="495">
        <f t="shared" si="90"/>
        <v>0</v>
      </c>
      <c r="AB144" s="433">
        <f>VLOOKUP(Y144,Treatments!$C$7:$J$407,8)</f>
        <v>0</v>
      </c>
      <c r="AC144" s="495">
        <f t="shared" si="91"/>
        <v>0</v>
      </c>
      <c r="AD144" s="496">
        <f t="shared" si="86"/>
        <v>0</v>
      </c>
      <c r="AE144" s="433">
        <f t="shared" si="87"/>
        <v>0</v>
      </c>
      <c r="AF144" s="411">
        <f t="shared" si="88"/>
        <v>0</v>
      </c>
      <c r="AI144" s="1"/>
      <c r="AJ144" s="1"/>
      <c r="AK144" s="1"/>
      <c r="AL144" s="1"/>
      <c r="AM144" s="1"/>
      <c r="AN144" s="1"/>
      <c r="AO144" s="1"/>
      <c r="AP144" s="1"/>
      <c r="AQ144" s="1"/>
      <c r="AR144" s="1"/>
    </row>
    <row r="145" spans="2:44" ht="15.75" x14ac:dyDescent="0.25">
      <c r="B145" s="305"/>
      <c r="C145" s="491" t="str">
        <f>IF(B145&lt;=0,"",VLOOKUP(B145,Treatments!$C$7:$J$407,2))</f>
        <v/>
      </c>
      <c r="D145" s="306"/>
      <c r="E145" s="433">
        <f>VLOOKUP(B145,Treatments!$C$7:$J$407,8)</f>
        <v>0</v>
      </c>
      <c r="F145" s="305"/>
      <c r="G145" s="493"/>
      <c r="H145" s="433">
        <f t="shared" si="84"/>
        <v>0</v>
      </c>
      <c r="I145" s="411">
        <f t="shared" si="89"/>
        <v>0</v>
      </c>
      <c r="L145" s="1"/>
      <c r="M145" s="1"/>
      <c r="N145" s="1"/>
      <c r="O145" s="1"/>
      <c r="P145" s="1"/>
      <c r="Q145" s="1"/>
      <c r="R145" s="1"/>
      <c r="S145" s="1"/>
      <c r="T145" s="1"/>
      <c r="U145" s="1"/>
      <c r="Y145" s="447">
        <f t="shared" si="85"/>
        <v>0</v>
      </c>
      <c r="Z145" s="491" t="str">
        <f>VLOOKUP(Y145,Treatments!$C$7:$J$407,2)</f>
        <v>No treatment</v>
      </c>
      <c r="AA145" s="495">
        <f t="shared" si="90"/>
        <v>0</v>
      </c>
      <c r="AB145" s="433">
        <f>VLOOKUP(Y145,Treatments!$C$7:$J$407,8)</f>
        <v>0</v>
      </c>
      <c r="AC145" s="495">
        <f t="shared" si="91"/>
        <v>0</v>
      </c>
      <c r="AD145" s="496">
        <f t="shared" si="86"/>
        <v>0</v>
      </c>
      <c r="AE145" s="433">
        <f t="shared" si="87"/>
        <v>0</v>
      </c>
      <c r="AF145" s="411">
        <f t="shared" si="88"/>
        <v>0</v>
      </c>
      <c r="AI145" s="1"/>
      <c r="AJ145" s="1"/>
      <c r="AK145" s="1"/>
      <c r="AL145" s="1"/>
      <c r="AM145" s="1"/>
      <c r="AN145" s="1"/>
      <c r="AO145" s="1"/>
      <c r="AP145" s="1"/>
      <c r="AQ145" s="1"/>
      <c r="AR145" s="1"/>
    </row>
    <row r="146" spans="2:44" ht="15.75" x14ac:dyDescent="0.25">
      <c r="B146" s="305"/>
      <c r="C146" s="491" t="str">
        <f>IF(B146&lt;=0,"",VLOOKUP(B146,Treatments!$C$7:$J$407,2))</f>
        <v/>
      </c>
      <c r="D146" s="306"/>
      <c r="E146" s="433">
        <f>VLOOKUP(B146,Treatments!$C$7:$J$407,8)</f>
        <v>0</v>
      </c>
      <c r="F146" s="305"/>
      <c r="G146" s="493"/>
      <c r="H146" s="433">
        <f t="shared" si="84"/>
        <v>0</v>
      </c>
      <c r="I146" s="411">
        <f t="shared" si="89"/>
        <v>0</v>
      </c>
      <c r="L146" s="1"/>
      <c r="M146" s="1"/>
      <c r="N146" s="1"/>
      <c r="O146" s="1"/>
      <c r="P146" s="1"/>
      <c r="Q146" s="1"/>
      <c r="R146" s="1"/>
      <c r="S146" s="1"/>
      <c r="T146" s="1"/>
      <c r="U146" s="1"/>
      <c r="Y146" s="447">
        <f t="shared" si="85"/>
        <v>0</v>
      </c>
      <c r="Z146" s="491" t="str">
        <f>VLOOKUP(Y146,Treatments!$C$7:$J$407,2)</f>
        <v>No treatment</v>
      </c>
      <c r="AA146" s="495">
        <f t="shared" si="90"/>
        <v>0</v>
      </c>
      <c r="AB146" s="433">
        <f>VLOOKUP(Y146,Treatments!$C$7:$J$407,8)</f>
        <v>0</v>
      </c>
      <c r="AC146" s="495">
        <f t="shared" si="91"/>
        <v>0</v>
      </c>
      <c r="AD146" s="496">
        <f t="shared" si="86"/>
        <v>0</v>
      </c>
      <c r="AE146" s="433">
        <f t="shared" si="87"/>
        <v>0</v>
      </c>
      <c r="AF146" s="411">
        <f t="shared" si="88"/>
        <v>0</v>
      </c>
      <c r="AI146" s="1"/>
      <c r="AJ146" s="1"/>
      <c r="AK146" s="1"/>
      <c r="AL146" s="1"/>
      <c r="AM146" s="1"/>
      <c r="AN146" s="1"/>
      <c r="AO146" s="1"/>
      <c r="AP146" s="1"/>
      <c r="AQ146" s="1"/>
      <c r="AR146" s="1"/>
    </row>
    <row r="147" spans="2:44" ht="15.75" x14ac:dyDescent="0.25">
      <c r="B147" s="1"/>
      <c r="C147" s="1" t="s">
        <v>586</v>
      </c>
      <c r="D147" s="492"/>
      <c r="E147" s="433">
        <f>S143</f>
        <v>0</v>
      </c>
      <c r="F147" s="305"/>
      <c r="G147" s="493"/>
      <c r="H147" s="433">
        <f t="shared" si="84"/>
        <v>0</v>
      </c>
      <c r="I147" s="411">
        <f t="shared" si="89"/>
        <v>0</v>
      </c>
      <c r="L147" s="1"/>
      <c r="M147" s="1"/>
      <c r="N147" s="1"/>
      <c r="O147" s="1"/>
      <c r="P147" s="1"/>
      <c r="Q147" s="1"/>
      <c r="R147" s="1"/>
      <c r="S147" s="1"/>
      <c r="T147" s="1"/>
      <c r="U147" s="1"/>
      <c r="Y147" s="1"/>
      <c r="Z147" s="1" t="s">
        <v>586</v>
      </c>
      <c r="AA147" s="495">
        <f t="shared" si="90"/>
        <v>0</v>
      </c>
      <c r="AB147" s="433">
        <f>AP143</f>
        <v>0</v>
      </c>
      <c r="AC147" s="495">
        <f t="shared" si="91"/>
        <v>0</v>
      </c>
      <c r="AD147" s="496">
        <f t="shared" si="86"/>
        <v>0</v>
      </c>
      <c r="AE147" s="433">
        <f t="shared" si="87"/>
        <v>0</v>
      </c>
      <c r="AF147" s="411">
        <f t="shared" si="88"/>
        <v>0</v>
      </c>
      <c r="AI147" s="1"/>
      <c r="AJ147" s="1"/>
      <c r="AK147" s="1"/>
      <c r="AL147" s="1"/>
      <c r="AM147" s="1"/>
      <c r="AN147" s="1"/>
      <c r="AO147" s="1"/>
      <c r="AP147" s="1"/>
      <c r="AQ147" s="1"/>
      <c r="AR147" s="1"/>
    </row>
    <row r="148" spans="2:44" ht="15.75" x14ac:dyDescent="0.25">
      <c r="B148" s="515"/>
      <c r="C148" s="515"/>
      <c r="D148" s="515"/>
      <c r="E148" s="516"/>
      <c r="F148" s="517" t="s">
        <v>796</v>
      </c>
      <c r="G148" s="515"/>
      <c r="H148" s="510">
        <f>SUM(H110:H147)</f>
        <v>0</v>
      </c>
      <c r="I148" s="510">
        <f>SUM(I110:I147)</f>
        <v>0</v>
      </c>
      <c r="L148" s="1" t="s">
        <v>791</v>
      </c>
      <c r="M148" s="1"/>
      <c r="N148" s="1"/>
      <c r="O148" s="1"/>
      <c r="P148" s="1"/>
      <c r="Q148" s="1"/>
      <c r="R148" s="1"/>
      <c r="S148" s="1"/>
      <c r="T148" s="1"/>
      <c r="U148" s="1"/>
      <c r="Y148" s="515"/>
      <c r="Z148" s="515"/>
      <c r="AA148" s="518"/>
      <c r="AB148" s="516"/>
      <c r="AC148" s="518" t="s">
        <v>796</v>
      </c>
      <c r="AD148" s="518"/>
      <c r="AE148" s="510">
        <f>SUM(AE110:AE147)</f>
        <v>0</v>
      </c>
      <c r="AF148" s="510">
        <f>SUM(AF110:AF147)</f>
        <v>0</v>
      </c>
      <c r="AI148" s="1"/>
      <c r="AJ148" s="1"/>
      <c r="AK148" s="1"/>
      <c r="AL148" s="1"/>
      <c r="AM148" s="1"/>
      <c r="AN148" s="1"/>
      <c r="AO148" s="1"/>
      <c r="AP148" s="1"/>
      <c r="AQ148" s="1"/>
      <c r="AR148" s="1"/>
    </row>
    <row r="149" spans="2:44" x14ac:dyDescent="0.2">
      <c r="B149" s="515"/>
      <c r="D149" s="515"/>
      <c r="E149" s="516"/>
      <c r="F149" s="515"/>
      <c r="G149" s="515"/>
      <c r="H149" s="515"/>
      <c r="L149" s="1" t="s">
        <v>790</v>
      </c>
      <c r="M149" s="1"/>
      <c r="N149" s="1"/>
      <c r="O149" s="1"/>
      <c r="P149" s="1"/>
      <c r="Q149" s="1"/>
      <c r="R149" s="1"/>
      <c r="S149" s="1"/>
      <c r="T149" s="1"/>
      <c r="U149" s="1"/>
    </row>
    <row r="150" spans="2:44" x14ac:dyDescent="0.2">
      <c r="D150" s="515"/>
      <c r="E150" s="516"/>
      <c r="F150" s="515"/>
      <c r="G150" s="515"/>
      <c r="H150" s="515"/>
      <c r="L150" s="1"/>
      <c r="M150" s="1"/>
      <c r="N150" s="1"/>
      <c r="O150" s="1"/>
      <c r="P150" s="1"/>
      <c r="Q150" s="1"/>
      <c r="R150" s="1"/>
      <c r="S150" s="1"/>
      <c r="T150" s="1"/>
      <c r="U150" s="1"/>
    </row>
    <row r="151" spans="2:44" x14ac:dyDescent="0.2">
      <c r="B151"/>
      <c r="C151"/>
      <c r="D151"/>
      <c r="E151" s="516"/>
      <c r="F151" s="515"/>
      <c r="G151" s="515"/>
      <c r="H151" s="515"/>
      <c r="L151" s="1" t="s">
        <v>394</v>
      </c>
      <c r="M151" s="1"/>
      <c r="N151" s="1"/>
      <c r="O151" s="1"/>
      <c r="P151" s="1"/>
      <c r="Q151" s="1"/>
      <c r="R151" s="1"/>
      <c r="S151" s="1"/>
      <c r="T151" s="1"/>
      <c r="U151" s="1"/>
    </row>
    <row r="152" spans="2:44" x14ac:dyDescent="0.2">
      <c r="H152" s="515"/>
      <c r="L152" s="1"/>
      <c r="M152" s="1"/>
      <c r="N152" s="1"/>
      <c r="O152" s="1"/>
      <c r="P152" s="1"/>
      <c r="Q152" s="1"/>
      <c r="R152" s="1"/>
      <c r="S152" s="1"/>
      <c r="T152" s="1"/>
      <c r="U152" s="1"/>
    </row>
    <row r="153" spans="2:44" ht="15.75" x14ac:dyDescent="0.25">
      <c r="B153" s="551" t="s">
        <v>897</v>
      </c>
      <c r="C153" s="552"/>
      <c r="G153" s="551" t="s">
        <v>897</v>
      </c>
      <c r="H153" s="552"/>
      <c r="L153" s="1" t="s">
        <v>793</v>
      </c>
      <c r="M153" s="1"/>
      <c r="N153" s="1"/>
      <c r="O153" s="1"/>
      <c r="P153" s="1"/>
      <c r="Q153" s="1"/>
      <c r="R153" s="1"/>
      <c r="S153" s="1"/>
      <c r="T153" s="1"/>
      <c r="U153" s="1"/>
    </row>
    <row r="154" spans="2:44" ht="15.75" x14ac:dyDescent="0.25">
      <c r="B154" s="553" t="s">
        <v>400</v>
      </c>
      <c r="C154" s="555"/>
      <c r="D154" s="554" t="s">
        <v>993</v>
      </c>
      <c r="E154" s="554" t="s">
        <v>904</v>
      </c>
      <c r="G154" s="553" t="s">
        <v>393</v>
      </c>
      <c r="H154" s="555"/>
      <c r="I154" s="554" t="s">
        <v>993</v>
      </c>
      <c r="J154" s="554" t="s">
        <v>904</v>
      </c>
      <c r="L154" s="1" t="s">
        <v>798</v>
      </c>
      <c r="M154" s="1"/>
      <c r="N154" s="1"/>
      <c r="O154" s="1"/>
      <c r="P154" s="1"/>
      <c r="Q154" s="1"/>
      <c r="R154" s="1"/>
      <c r="S154" s="1"/>
      <c r="T154" s="1"/>
    </row>
    <row r="155" spans="2:44" ht="15.75" x14ac:dyDescent="0.25">
      <c r="B155" s="454" t="s">
        <v>898</v>
      </c>
      <c r="C155" s="519"/>
      <c r="D155" s="455">
        <f>L60</f>
        <v>0</v>
      </c>
      <c r="E155" s="455">
        <f>D155/$D$8</f>
        <v>0</v>
      </c>
      <c r="F155" s="515"/>
      <c r="G155" s="456" t="s">
        <v>898</v>
      </c>
      <c r="H155" s="456"/>
      <c r="I155" s="457">
        <f t="shared" ref="I155:J160" si="92">D155</f>
        <v>0</v>
      </c>
      <c r="J155" s="457">
        <f t="shared" si="92"/>
        <v>0</v>
      </c>
      <c r="L155" s="1" t="s">
        <v>799</v>
      </c>
      <c r="M155" s="1"/>
      <c r="N155" s="1"/>
      <c r="O155" s="1"/>
      <c r="P155" s="1"/>
      <c r="Q155" s="1"/>
      <c r="R155" s="1"/>
      <c r="S155" s="1"/>
      <c r="T155" s="1"/>
    </row>
    <row r="156" spans="2:44" ht="15.75" x14ac:dyDescent="0.25">
      <c r="B156" s="458" t="s">
        <v>797</v>
      </c>
      <c r="C156" s="459"/>
      <c r="D156" s="460">
        <f>H22</f>
        <v>0</v>
      </c>
      <c r="E156" s="460">
        <f t="shared" ref="E156:E162" si="93">D156/$D$8</f>
        <v>0</v>
      </c>
      <c r="F156" s="515"/>
      <c r="G156" s="458" t="s">
        <v>797</v>
      </c>
      <c r="H156" s="458"/>
      <c r="I156" s="460">
        <f t="shared" si="92"/>
        <v>0</v>
      </c>
      <c r="J156" s="461">
        <f t="shared" si="92"/>
        <v>0</v>
      </c>
      <c r="L156" s="520"/>
    </row>
    <row r="157" spans="2:44" ht="15.75" x14ac:dyDescent="0.25">
      <c r="B157" s="462" t="s">
        <v>399</v>
      </c>
      <c r="C157" s="463"/>
      <c r="D157" s="464">
        <f>H35+J35+L35</f>
        <v>0</v>
      </c>
      <c r="E157" s="464">
        <f t="shared" si="93"/>
        <v>0</v>
      </c>
      <c r="F157" s="515"/>
      <c r="G157" s="462" t="s">
        <v>899</v>
      </c>
      <c r="H157" s="462"/>
      <c r="I157" s="465">
        <f t="shared" si="92"/>
        <v>0</v>
      </c>
      <c r="J157" s="466">
        <f t="shared" si="92"/>
        <v>0</v>
      </c>
      <c r="M157" s="520"/>
    </row>
    <row r="158" spans="2:44" ht="15.75" x14ac:dyDescent="0.25">
      <c r="B158" s="467" t="s">
        <v>880</v>
      </c>
      <c r="C158" s="463"/>
      <c r="D158" s="464">
        <f>L75</f>
        <v>0</v>
      </c>
      <c r="E158" s="464">
        <f t="shared" si="93"/>
        <v>0</v>
      </c>
      <c r="F158" s="515"/>
      <c r="G158" s="467" t="s">
        <v>880</v>
      </c>
      <c r="H158" s="467"/>
      <c r="I158" s="465">
        <f t="shared" si="92"/>
        <v>0</v>
      </c>
      <c r="J158" s="466">
        <f t="shared" si="92"/>
        <v>0</v>
      </c>
    </row>
    <row r="159" spans="2:44" ht="15.75" x14ac:dyDescent="0.25">
      <c r="B159" s="467" t="s">
        <v>881</v>
      </c>
      <c r="C159" s="463"/>
      <c r="D159" s="464">
        <f>M47</f>
        <v>0</v>
      </c>
      <c r="E159" s="464">
        <f t="shared" si="93"/>
        <v>0</v>
      </c>
      <c r="G159" s="467" t="s">
        <v>881</v>
      </c>
      <c r="H159" s="467"/>
      <c r="I159" s="465">
        <f t="shared" si="92"/>
        <v>0</v>
      </c>
      <c r="J159" s="466">
        <f t="shared" si="92"/>
        <v>0</v>
      </c>
    </row>
    <row r="160" spans="2:44" ht="15.75" x14ac:dyDescent="0.25">
      <c r="B160" s="467" t="s">
        <v>872</v>
      </c>
      <c r="C160" s="463"/>
      <c r="D160" s="464">
        <f>D75+H75</f>
        <v>0</v>
      </c>
      <c r="E160" s="464">
        <f t="shared" si="93"/>
        <v>0</v>
      </c>
      <c r="F160" s="515"/>
      <c r="G160" s="467" t="s">
        <v>872</v>
      </c>
      <c r="H160" s="467"/>
      <c r="I160" s="465">
        <f t="shared" si="92"/>
        <v>0</v>
      </c>
      <c r="J160" s="466">
        <f t="shared" si="92"/>
        <v>0</v>
      </c>
    </row>
    <row r="161" spans="2:13" ht="15.75" x14ac:dyDescent="0.25">
      <c r="B161" s="468" t="s">
        <v>755</v>
      </c>
      <c r="C161" s="469"/>
      <c r="D161" s="470">
        <f>I148</f>
        <v>0</v>
      </c>
      <c r="E161" s="470">
        <f t="shared" si="93"/>
        <v>0</v>
      </c>
      <c r="F161" s="515"/>
      <c r="G161" s="468" t="s">
        <v>754</v>
      </c>
      <c r="H161" s="468"/>
      <c r="I161" s="465">
        <f>AF148</f>
        <v>0</v>
      </c>
      <c r="J161" s="466">
        <f>I161/$D$8</f>
        <v>0</v>
      </c>
    </row>
    <row r="162" spans="2:13" ht="15.75" x14ac:dyDescent="0.25">
      <c r="B162" s="471" t="s">
        <v>900</v>
      </c>
      <c r="C162" s="521"/>
      <c r="D162" s="472">
        <f>SUM(D156:D161)</f>
        <v>0</v>
      </c>
      <c r="E162" s="472">
        <f t="shared" si="93"/>
        <v>0</v>
      </c>
      <c r="F162" s="515"/>
      <c r="G162" s="471" t="s">
        <v>900</v>
      </c>
      <c r="H162" s="471"/>
      <c r="I162" s="472">
        <f>SUM(I156:I161)</f>
        <v>0</v>
      </c>
      <c r="J162" s="472">
        <f>I162/D8</f>
        <v>0</v>
      </c>
    </row>
    <row r="163" spans="2:13" x14ac:dyDescent="0.2">
      <c r="B163" s="427"/>
      <c r="C163" s="427"/>
      <c r="D163" s="427"/>
      <c r="E163" s="427"/>
      <c r="G163" s="427"/>
      <c r="H163" s="427"/>
      <c r="I163" s="427"/>
      <c r="J163" s="427"/>
    </row>
    <row r="164" spans="2:13" ht="15.75" x14ac:dyDescent="0.25">
      <c r="B164" s="473" t="s">
        <v>901</v>
      </c>
      <c r="C164" s="522"/>
      <c r="D164" s="474">
        <f>D155-D162</f>
        <v>0</v>
      </c>
      <c r="E164" s="474">
        <f>D164/D8</f>
        <v>0</v>
      </c>
      <c r="G164" s="473" t="s">
        <v>901</v>
      </c>
      <c r="H164" s="473"/>
      <c r="I164" s="474">
        <f>I155-I162</f>
        <v>0</v>
      </c>
      <c r="J164" s="474">
        <f>I164/$D$8</f>
        <v>0</v>
      </c>
      <c r="K164" s="523"/>
    </row>
    <row r="165" spans="2:13" ht="15.75" x14ac:dyDescent="0.25">
      <c r="B165" s="473" t="s">
        <v>737</v>
      </c>
      <c r="C165" s="475"/>
      <c r="D165" s="474">
        <f>H88</f>
        <v>0</v>
      </c>
      <c r="E165" s="474">
        <f>D165/D8</f>
        <v>0</v>
      </c>
      <c r="F165" s="515"/>
      <c r="G165" s="473" t="s">
        <v>737</v>
      </c>
      <c r="H165" s="475"/>
      <c r="I165" s="474">
        <f>H88</f>
        <v>0</v>
      </c>
      <c r="J165" s="515"/>
    </row>
    <row r="166" spans="2:13" ht="15.75" x14ac:dyDescent="0.25">
      <c r="B166" s="473" t="s">
        <v>675</v>
      </c>
      <c r="C166" s="522"/>
      <c r="D166" s="474">
        <f>D164-D165</f>
        <v>0</v>
      </c>
      <c r="E166" s="474">
        <f>D166/$D$8</f>
        <v>0</v>
      </c>
      <c r="F166" s="515"/>
      <c r="G166" s="473" t="s">
        <v>902</v>
      </c>
      <c r="H166" s="473"/>
      <c r="I166" s="474">
        <f>I164-I165</f>
        <v>0</v>
      </c>
      <c r="J166" s="474">
        <f>I166/$D$8</f>
        <v>0</v>
      </c>
    </row>
    <row r="167" spans="2:13" ht="15.75" x14ac:dyDescent="0.25">
      <c r="B167" s="473" t="s">
        <v>739</v>
      </c>
      <c r="C167" s="522"/>
      <c r="D167" s="522"/>
      <c r="E167" s="476">
        <f>(E60-F22)/$D$8</f>
        <v>0</v>
      </c>
      <c r="F167" s="515"/>
      <c r="J167" s="515"/>
    </row>
    <row r="168" spans="2:13" x14ac:dyDescent="0.2">
      <c r="F168" s="515"/>
      <c r="J168" s="524"/>
    </row>
    <row r="169" spans="2:13" x14ac:dyDescent="0.2">
      <c r="F169" s="515"/>
      <c r="I169" s="515"/>
      <c r="J169" s="515"/>
    </row>
    <row r="170" spans="2:13" x14ac:dyDescent="0.2">
      <c r="B170" s="1"/>
      <c r="C170" s="1"/>
      <c r="D170" s="1"/>
      <c r="E170" s="524"/>
      <c r="F170" s="515"/>
      <c r="G170" s="1"/>
      <c r="H170" s="1"/>
      <c r="I170" s="1"/>
      <c r="J170" s="524"/>
    </row>
    <row r="171" spans="2:13" x14ac:dyDescent="0.2">
      <c r="G171" s="1"/>
      <c r="H171" s="1"/>
      <c r="I171" s="1"/>
      <c r="J171" s="515"/>
    </row>
    <row r="172" spans="2:13" ht="15.75" thickBot="1" x14ac:dyDescent="0.25">
      <c r="B172" s="1"/>
      <c r="C172" s="1"/>
      <c r="D172" s="1"/>
      <c r="E172" s="524"/>
      <c r="G172" s="1"/>
      <c r="H172" s="1"/>
      <c r="I172" s="1"/>
      <c r="J172" s="524"/>
    </row>
    <row r="173" spans="2:13" ht="16.5" thickBot="1" x14ac:dyDescent="0.3">
      <c r="B173" s="1"/>
      <c r="C173" s="525" t="s">
        <v>667</v>
      </c>
      <c r="D173" s="526" t="s">
        <v>668</v>
      </c>
      <c r="E173" s="1"/>
      <c r="G173" s="527"/>
      <c r="H173" s="528" t="s">
        <v>760</v>
      </c>
      <c r="I173" s="529"/>
      <c r="J173" s="530"/>
      <c r="K173" s="528" t="s">
        <v>761</v>
      </c>
      <c r="L173" s="529"/>
      <c r="M173" s="530"/>
    </row>
    <row r="174" spans="2:13" ht="15.75" x14ac:dyDescent="0.2">
      <c r="B174" s="1"/>
      <c r="C174" s="74" t="s">
        <v>661</v>
      </c>
      <c r="D174" s="495">
        <f>H100</f>
        <v>0</v>
      </c>
      <c r="E174" s="1"/>
      <c r="G174" s="531"/>
      <c r="H174" s="532" t="s">
        <v>762</v>
      </c>
      <c r="I174" s="532" t="s">
        <v>763</v>
      </c>
      <c r="J174" s="532" t="s">
        <v>764</v>
      </c>
      <c r="K174" s="532" t="s">
        <v>765</v>
      </c>
      <c r="L174" s="532" t="s">
        <v>766</v>
      </c>
      <c r="M174" s="532" t="s">
        <v>767</v>
      </c>
    </row>
    <row r="175" spans="2:13" ht="16.5" thickBot="1" x14ac:dyDescent="0.25">
      <c r="C175" s="74" t="s">
        <v>669</v>
      </c>
      <c r="D175" s="435">
        <v>3650</v>
      </c>
      <c r="E175" s="1" t="s">
        <v>803</v>
      </c>
      <c r="G175" s="533" t="s">
        <v>768</v>
      </c>
      <c r="H175" s="534">
        <v>1000</v>
      </c>
      <c r="I175" s="534">
        <v>1000</v>
      </c>
      <c r="J175" s="534">
        <v>1000</v>
      </c>
      <c r="K175" s="534">
        <v>1000</v>
      </c>
      <c r="L175" s="534">
        <v>1000</v>
      </c>
      <c r="M175" s="534">
        <v>1000</v>
      </c>
    </row>
    <row r="176" spans="2:13" ht="16.5" thickBot="1" x14ac:dyDescent="0.25">
      <c r="C176" s="74" t="s">
        <v>670</v>
      </c>
      <c r="D176" s="409">
        <f>D175*D174</f>
        <v>0</v>
      </c>
      <c r="E176" s="1" t="s">
        <v>666</v>
      </c>
      <c r="G176" s="535" t="s">
        <v>769</v>
      </c>
      <c r="H176" s="536">
        <v>0.4</v>
      </c>
      <c r="I176" s="537">
        <v>0.3</v>
      </c>
      <c r="J176" s="538">
        <v>0.4</v>
      </c>
      <c r="K176" s="539">
        <v>0.3</v>
      </c>
      <c r="L176" s="538">
        <v>0.3</v>
      </c>
      <c r="M176" s="540">
        <v>0.3</v>
      </c>
    </row>
    <row r="177" spans="2:14" x14ac:dyDescent="0.2">
      <c r="B177" s="1"/>
      <c r="C177" s="541" t="s">
        <v>671</v>
      </c>
      <c r="D177" s="452">
        <v>0.4</v>
      </c>
      <c r="E177" s="1"/>
      <c r="G177" s="1"/>
      <c r="H177" s="1"/>
      <c r="I177" s="1"/>
      <c r="J177" s="1"/>
      <c r="K177" s="1"/>
      <c r="L177" s="1"/>
      <c r="M177" s="1"/>
    </row>
    <row r="178" spans="2:14" x14ac:dyDescent="0.2">
      <c r="B178" s="1"/>
      <c r="C178" s="541" t="s">
        <v>662</v>
      </c>
      <c r="D178" s="409">
        <f>D176*1/D177</f>
        <v>0</v>
      </c>
      <c r="E178" s="1" t="s">
        <v>666</v>
      </c>
      <c r="N178" s="1"/>
    </row>
    <row r="179" spans="2:14" x14ac:dyDescent="0.2">
      <c r="B179" s="1"/>
      <c r="C179" s="74" t="s">
        <v>672</v>
      </c>
      <c r="D179" s="409">
        <f>D8</f>
        <v>100</v>
      </c>
      <c r="E179" s="1" t="s">
        <v>1000</v>
      </c>
      <c r="N179" s="1"/>
    </row>
    <row r="180" spans="2:14" x14ac:dyDescent="0.2">
      <c r="B180" s="1"/>
      <c r="C180" s="74" t="s">
        <v>663</v>
      </c>
      <c r="D180" s="409">
        <f>D178/D179</f>
        <v>0</v>
      </c>
      <c r="E180" s="1" t="s">
        <v>802</v>
      </c>
      <c r="N180" s="1"/>
    </row>
    <row r="181" spans="2:14" x14ac:dyDescent="0.2">
      <c r="B181" s="1"/>
      <c r="C181" s="74" t="s">
        <v>664</v>
      </c>
      <c r="D181" s="435">
        <v>1000</v>
      </c>
      <c r="E181" s="1" t="s">
        <v>802</v>
      </c>
      <c r="N181" s="1"/>
    </row>
    <row r="182" spans="2:14" x14ac:dyDescent="0.2">
      <c r="B182" s="1"/>
      <c r="C182" s="74" t="s">
        <v>665</v>
      </c>
      <c r="D182" s="409">
        <f>D181+D180</f>
        <v>1000</v>
      </c>
      <c r="E182" s="1" t="s">
        <v>802</v>
      </c>
      <c r="N182" s="1"/>
    </row>
    <row r="183" spans="2:14" x14ac:dyDescent="0.2">
      <c r="B183" s="1"/>
      <c r="C183" s="542"/>
      <c r="D183" s="543"/>
      <c r="E183" s="1"/>
      <c r="N183" s="1"/>
    </row>
    <row r="184" spans="2:14" x14ac:dyDescent="0.2">
      <c r="B184" s="1"/>
      <c r="C184" s="1"/>
      <c r="D184" s="1"/>
      <c r="E184" s="1"/>
      <c r="F184" s="1"/>
      <c r="G184" s="1"/>
      <c r="H184" s="1"/>
      <c r="I184" s="1"/>
      <c r="J184" s="1"/>
      <c r="K184" s="1"/>
      <c r="L184" s="1"/>
      <c r="M184" s="1"/>
      <c r="N184" s="1"/>
    </row>
    <row r="185" spans="2:14" x14ac:dyDescent="0.2">
      <c r="B185" s="1"/>
      <c r="C185" s="1"/>
      <c r="D185" s="1"/>
      <c r="E185" s="1"/>
      <c r="F185" s="1"/>
      <c r="G185" s="1"/>
      <c r="H185" s="1"/>
      <c r="I185" s="1"/>
      <c r="J185" s="1"/>
      <c r="K185" s="1"/>
      <c r="L185" s="1"/>
      <c r="M185" s="1"/>
      <c r="N185" s="1"/>
    </row>
    <row r="186" spans="2:14" x14ac:dyDescent="0.2">
      <c r="B186" s="1"/>
      <c r="C186" s="1"/>
      <c r="D186" s="1"/>
      <c r="E186" s="1"/>
      <c r="F186" s="1"/>
      <c r="G186" s="1"/>
      <c r="H186" s="1"/>
      <c r="I186" s="1"/>
      <c r="J186" s="1"/>
      <c r="K186" s="1"/>
      <c r="L186" s="1"/>
      <c r="M186" s="1"/>
      <c r="N186" s="1"/>
    </row>
    <row r="187" spans="2:14" x14ac:dyDescent="0.2">
      <c r="B187" s="1"/>
      <c r="C187" s="1"/>
      <c r="D187" s="1"/>
      <c r="E187" s="1"/>
      <c r="F187" s="1"/>
      <c r="G187" s="1"/>
      <c r="H187" s="1"/>
      <c r="I187" s="1"/>
      <c r="J187" s="1"/>
      <c r="K187" s="1"/>
      <c r="L187" s="1"/>
      <c r="M187" s="1"/>
      <c r="N187" s="1"/>
    </row>
    <row r="188" spans="2:14" x14ac:dyDescent="0.2">
      <c r="B188" s="1"/>
      <c r="C188" s="1"/>
      <c r="D188" s="1"/>
      <c r="E188" s="1"/>
      <c r="F188" s="1"/>
      <c r="G188" s="1"/>
      <c r="H188" s="1"/>
      <c r="I188" s="1"/>
      <c r="J188" s="1"/>
      <c r="K188" s="1"/>
      <c r="L188" s="1"/>
      <c r="M188" s="1"/>
      <c r="N188" s="1"/>
    </row>
    <row r="189" spans="2:14" x14ac:dyDescent="0.2">
      <c r="B189" s="1"/>
      <c r="C189" s="1"/>
      <c r="D189" s="1"/>
      <c r="E189" s="1"/>
      <c r="F189" s="1"/>
      <c r="G189" s="1"/>
      <c r="H189" s="1"/>
      <c r="I189" s="1"/>
      <c r="J189" s="1"/>
      <c r="K189" s="1"/>
      <c r="L189" s="1"/>
      <c r="M189" s="1"/>
      <c r="N189" s="1"/>
    </row>
    <row r="190" spans="2:14" x14ac:dyDescent="0.2">
      <c r="B190" s="1"/>
      <c r="C190" s="1"/>
      <c r="D190" s="1"/>
      <c r="E190" s="1"/>
      <c r="F190" s="1"/>
      <c r="G190" s="1"/>
      <c r="H190" s="1"/>
      <c r="I190" s="1"/>
      <c r="J190" s="1"/>
      <c r="K190" s="1"/>
      <c r="L190" s="1"/>
      <c r="M190" s="1"/>
      <c r="N190" s="1"/>
    </row>
    <row r="191" spans="2:14" x14ac:dyDescent="0.2">
      <c r="B191" s="1"/>
      <c r="C191" s="1"/>
      <c r="D191" s="1"/>
      <c r="E191" s="1"/>
      <c r="F191" s="1"/>
      <c r="G191" s="1"/>
      <c r="H191" s="1"/>
      <c r="I191" s="1"/>
      <c r="J191" s="1"/>
      <c r="K191" s="1"/>
      <c r="L191" s="1"/>
      <c r="M191" s="1"/>
      <c r="N191" s="1"/>
    </row>
    <row r="192" spans="2:14" x14ac:dyDescent="0.2">
      <c r="B192" s="1"/>
      <c r="C192" s="1"/>
      <c r="D192" s="1"/>
      <c r="E192" s="1"/>
      <c r="F192" s="1"/>
      <c r="G192" s="1"/>
      <c r="H192" s="1"/>
      <c r="I192" s="1"/>
      <c r="J192" s="1"/>
      <c r="K192" s="1"/>
    </row>
    <row r="193" spans="2:11" x14ac:dyDescent="0.2">
      <c r="B193" s="1"/>
      <c r="C193" s="1"/>
      <c r="D193" s="1"/>
      <c r="E193" s="1"/>
      <c r="F193" s="1"/>
      <c r="G193" s="1"/>
      <c r="H193" s="1"/>
      <c r="I193" s="1"/>
      <c r="J193" s="1"/>
      <c r="K193" s="1"/>
    </row>
    <row r="194" spans="2:11" x14ac:dyDescent="0.2">
      <c r="C194" s="1"/>
      <c r="D194" s="1"/>
      <c r="E194" s="1"/>
      <c r="F194" s="1"/>
      <c r="G194" s="1"/>
      <c r="H194" s="1"/>
      <c r="I194" s="1"/>
      <c r="J194" s="1"/>
      <c r="K194" s="1"/>
    </row>
    <row r="195" spans="2:11" x14ac:dyDescent="0.2">
      <c r="E195" s="1"/>
      <c r="F195" s="1"/>
      <c r="G195" s="1"/>
      <c r="H195" s="1"/>
      <c r="I195" s="1"/>
      <c r="J195" s="1"/>
      <c r="K195" s="1"/>
    </row>
    <row r="196" spans="2:11" x14ac:dyDescent="0.2">
      <c r="E196" s="1"/>
      <c r="F196" s="1"/>
      <c r="G196" s="1"/>
      <c r="H196" s="1"/>
      <c r="I196" s="1"/>
      <c r="J196" s="1"/>
      <c r="K196" s="1"/>
    </row>
    <row r="197" spans="2:11" x14ac:dyDescent="0.2">
      <c r="E197" s="1"/>
      <c r="F197" s="1"/>
      <c r="G197" s="1"/>
      <c r="H197" s="1"/>
      <c r="I197" s="1"/>
      <c r="J197" s="1"/>
      <c r="K197" s="1"/>
    </row>
    <row r="198" spans="2:11" x14ac:dyDescent="0.2">
      <c r="E198" s="1"/>
      <c r="F198" s="1"/>
      <c r="G198" s="1"/>
      <c r="H198" s="1"/>
      <c r="I198" s="1"/>
      <c r="J198" s="1"/>
      <c r="K198" s="1"/>
    </row>
    <row r="199" spans="2:11" x14ac:dyDescent="0.2">
      <c r="E199" s="1"/>
      <c r="F199" s="1"/>
      <c r="G199" s="1"/>
      <c r="H199" s="1"/>
      <c r="I199" s="1"/>
      <c r="J199" s="1"/>
      <c r="K199" s="1"/>
    </row>
    <row r="200" spans="2:11" x14ac:dyDescent="0.2">
      <c r="E200" s="1"/>
      <c r="F200" s="1"/>
      <c r="G200" s="1"/>
      <c r="H200" s="1"/>
      <c r="I200" s="1"/>
      <c r="J200" s="1"/>
      <c r="K200" s="1"/>
    </row>
    <row r="201" spans="2:11" x14ac:dyDescent="0.2">
      <c r="E201" s="1"/>
      <c r="F201" s="1"/>
      <c r="G201" s="1"/>
      <c r="H201" s="1"/>
      <c r="I201" s="1"/>
      <c r="J201" s="1"/>
      <c r="K201" s="1"/>
    </row>
    <row r="202" spans="2:11" x14ac:dyDescent="0.2">
      <c r="E202" s="1"/>
      <c r="F202" s="1"/>
      <c r="G202" s="1"/>
      <c r="H202" s="1"/>
      <c r="I202" s="1"/>
      <c r="J202" s="1"/>
      <c r="K202" s="1"/>
    </row>
    <row r="203" spans="2:11" x14ac:dyDescent="0.2">
      <c r="E203" s="1"/>
      <c r="F203" s="1"/>
      <c r="G203" s="1"/>
      <c r="H203" s="1"/>
      <c r="I203" s="1"/>
      <c r="J203" s="1"/>
      <c r="K203" s="1"/>
    </row>
    <row r="204" spans="2:11" x14ac:dyDescent="0.2">
      <c r="E204" s="1"/>
      <c r="F204" s="1"/>
      <c r="G204" s="1"/>
      <c r="H204" s="1"/>
      <c r="I204" s="1"/>
      <c r="J204" s="1"/>
      <c r="K204" s="1"/>
    </row>
    <row r="205" spans="2:11" x14ac:dyDescent="0.2">
      <c r="B205" s="1"/>
      <c r="C205" s="1"/>
      <c r="D205" s="1"/>
      <c r="E205" s="1"/>
      <c r="F205" s="1"/>
      <c r="G205" s="1"/>
      <c r="H205" s="1"/>
      <c r="I205" s="1"/>
      <c r="J205" s="1"/>
      <c r="K205" s="1"/>
    </row>
    <row r="206" spans="2:11" x14ac:dyDescent="0.2">
      <c r="B206" s="1"/>
      <c r="C206" s="1"/>
      <c r="D206" s="1"/>
      <c r="E206" s="1"/>
      <c r="F206" s="1"/>
      <c r="G206" s="1"/>
      <c r="H206" s="1"/>
      <c r="I206" s="1"/>
      <c r="J206" s="1"/>
      <c r="K206" s="1"/>
    </row>
    <row r="207" spans="2:11" x14ac:dyDescent="0.2">
      <c r="B207" s="1"/>
      <c r="C207" s="1"/>
      <c r="D207" s="1"/>
      <c r="E207" s="1"/>
      <c r="F207" s="1"/>
      <c r="G207" s="1"/>
      <c r="H207" s="1"/>
      <c r="I207" s="1"/>
      <c r="J207" s="1"/>
      <c r="K207" s="1"/>
    </row>
    <row r="208" spans="2:11" x14ac:dyDescent="0.2">
      <c r="B208" s="1"/>
      <c r="C208" s="1"/>
      <c r="D208" s="1"/>
      <c r="E208" s="1"/>
      <c r="F208" s="1"/>
      <c r="G208" s="1"/>
      <c r="H208" s="1"/>
      <c r="I208" s="1"/>
      <c r="J208" s="1"/>
      <c r="K208" s="1"/>
    </row>
    <row r="209" spans="2:11" x14ac:dyDescent="0.2">
      <c r="B209" s="1"/>
      <c r="C209" s="1"/>
      <c r="D209" s="1"/>
      <c r="E209" s="1"/>
      <c r="F209" s="1"/>
      <c r="G209" s="1"/>
      <c r="H209" s="1"/>
      <c r="I209" s="1"/>
      <c r="J209" s="1"/>
      <c r="K209" s="1"/>
    </row>
    <row r="210" spans="2:11" x14ac:dyDescent="0.2">
      <c r="B210" s="1"/>
      <c r="C210" s="1"/>
      <c r="D210" s="1"/>
      <c r="E210" s="1"/>
      <c r="F210" s="1"/>
      <c r="G210" s="1"/>
      <c r="H210" s="1"/>
      <c r="I210" s="1"/>
      <c r="J210" s="1"/>
      <c r="K210" s="1"/>
    </row>
    <row r="211" spans="2:11" x14ac:dyDescent="0.2">
      <c r="B211" s="1"/>
      <c r="C211" s="1"/>
      <c r="D211" s="1"/>
      <c r="E211" s="1"/>
      <c r="F211" s="1"/>
      <c r="G211" s="1"/>
      <c r="H211" s="1"/>
      <c r="I211" s="1"/>
      <c r="J211" s="1"/>
      <c r="K211" s="1"/>
    </row>
    <row r="212" spans="2:11" x14ac:dyDescent="0.2">
      <c r="B212" s="1"/>
      <c r="C212" s="1"/>
      <c r="D212" s="1"/>
      <c r="E212" s="1"/>
      <c r="F212" s="1"/>
      <c r="G212" s="1"/>
      <c r="H212" s="1"/>
      <c r="I212" s="1"/>
      <c r="J212" s="1"/>
      <c r="K212" s="1"/>
    </row>
    <row r="213" spans="2:11" x14ac:dyDescent="0.2">
      <c r="B213" s="1"/>
      <c r="C213" s="1"/>
      <c r="D213" s="1"/>
      <c r="E213" s="1"/>
      <c r="F213" s="1"/>
      <c r="G213" s="1"/>
      <c r="H213" s="1"/>
      <c r="I213" s="1"/>
      <c r="J213" s="1"/>
      <c r="K213" s="1"/>
    </row>
    <row r="214" spans="2:11" x14ac:dyDescent="0.2">
      <c r="B214" s="1"/>
      <c r="C214" s="1"/>
      <c r="D214" s="1"/>
      <c r="E214" s="1"/>
      <c r="F214" s="1"/>
      <c r="G214" s="1"/>
      <c r="H214" s="1"/>
      <c r="I214" s="1"/>
      <c r="J214" s="1"/>
      <c r="K214" s="1"/>
    </row>
    <row r="215" spans="2:11" x14ac:dyDescent="0.2">
      <c r="B215" s="1"/>
      <c r="C215" s="1"/>
      <c r="D215" s="1"/>
      <c r="E215" s="1"/>
      <c r="F215" s="1"/>
      <c r="G215" s="1"/>
      <c r="H215" s="1"/>
      <c r="I215" s="1"/>
      <c r="J215" s="1"/>
      <c r="K215" s="1"/>
    </row>
    <row r="216" spans="2:11" x14ac:dyDescent="0.2">
      <c r="B216" s="1"/>
      <c r="C216" s="1"/>
      <c r="D216" s="1"/>
      <c r="E216" s="1"/>
      <c r="F216" s="1"/>
      <c r="G216" s="1"/>
      <c r="H216" s="1"/>
      <c r="I216" s="1"/>
      <c r="J216" s="1"/>
      <c r="K216" s="1"/>
    </row>
    <row r="217" spans="2:11" x14ac:dyDescent="0.2">
      <c r="B217" s="1"/>
      <c r="C217" s="1"/>
      <c r="D217" s="1"/>
      <c r="E217" s="1"/>
      <c r="F217" s="1"/>
      <c r="G217" s="1"/>
      <c r="H217" s="1"/>
      <c r="I217" s="1"/>
      <c r="J217" s="1"/>
      <c r="K217" s="1"/>
    </row>
    <row r="218" spans="2:11" x14ac:dyDescent="0.2">
      <c r="B218" s="1"/>
      <c r="C218" s="1"/>
      <c r="D218" s="1"/>
      <c r="E218" s="1"/>
      <c r="F218" s="1"/>
      <c r="G218" s="1"/>
      <c r="H218" s="1"/>
      <c r="I218" s="1"/>
      <c r="J218" s="1"/>
      <c r="K218" s="1"/>
    </row>
    <row r="219" spans="2:11" x14ac:dyDescent="0.2">
      <c r="B219" s="1"/>
      <c r="C219" s="1"/>
      <c r="D219" s="1"/>
      <c r="E219" s="1"/>
      <c r="F219" s="1"/>
      <c r="G219" s="1"/>
      <c r="H219" s="1"/>
      <c r="I219" s="1"/>
      <c r="J219" s="1"/>
      <c r="K219" s="1"/>
    </row>
    <row r="220" spans="2:11" x14ac:dyDescent="0.2">
      <c r="B220" s="1"/>
      <c r="C220" s="1"/>
      <c r="D220" s="1"/>
      <c r="E220" s="1"/>
      <c r="F220" s="1"/>
      <c r="G220" s="1"/>
      <c r="H220" s="1"/>
      <c r="I220" s="1"/>
      <c r="J220" s="1"/>
      <c r="K220" s="1"/>
    </row>
    <row r="221" spans="2:11" x14ac:dyDescent="0.2">
      <c r="B221" s="1"/>
      <c r="C221" s="1"/>
      <c r="D221" s="1"/>
      <c r="E221" s="1"/>
      <c r="F221" s="1"/>
      <c r="G221" s="1"/>
      <c r="H221" s="1"/>
      <c r="I221" s="1"/>
      <c r="J221" s="1"/>
      <c r="K221" s="1"/>
    </row>
    <row r="222" spans="2:11" x14ac:dyDescent="0.2">
      <c r="B222" s="1"/>
      <c r="C222" s="1"/>
      <c r="D222" s="1"/>
      <c r="E222" s="1"/>
      <c r="F222" s="1"/>
      <c r="G222" s="1"/>
      <c r="H222" s="1"/>
      <c r="I222" s="1"/>
      <c r="J222" s="1"/>
      <c r="K222" s="1"/>
    </row>
    <row r="223" spans="2:11" x14ac:dyDescent="0.2">
      <c r="B223" s="1"/>
      <c r="C223" s="1"/>
      <c r="D223" s="1"/>
      <c r="E223" s="1"/>
      <c r="F223" s="1"/>
      <c r="G223" s="1"/>
      <c r="H223" s="1"/>
      <c r="I223" s="1"/>
      <c r="J223" s="1"/>
      <c r="K223" s="1"/>
    </row>
  </sheetData>
  <mergeCells count="13">
    <mergeCell ref="Q17:R17"/>
    <mergeCell ref="Q12:R12"/>
    <mergeCell ref="Q13:R13"/>
    <mergeCell ref="Q14:R14"/>
    <mergeCell ref="Q15:R15"/>
    <mergeCell ref="Q16:R16"/>
    <mergeCell ref="Q18:R18"/>
    <mergeCell ref="Q19:R19"/>
    <mergeCell ref="Q24:R24"/>
    <mergeCell ref="Q20:R20"/>
    <mergeCell ref="Q21:R21"/>
    <mergeCell ref="Q22:R22"/>
    <mergeCell ref="Q23:R23"/>
  </mergeCells>
  <phoneticPr fontId="15" type="noConversion"/>
  <pageMargins left="0.75" right="0.75" top="1" bottom="1" header="0.5" footer="0.5"/>
  <headerFooter alignWithMargins="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B41"/>
  <sheetViews>
    <sheetView showGridLines="0" zoomScale="80" workbookViewId="0"/>
  </sheetViews>
  <sheetFormatPr defaultColWidth="8.88671875" defaultRowHeight="15" x14ac:dyDescent="0.2"/>
  <cols>
    <col min="1" max="1" width="8.88671875" style="67"/>
    <col min="2" max="2" width="130.77734375" style="67" customWidth="1"/>
    <col min="3" max="16384" width="8.88671875" style="67"/>
  </cols>
  <sheetData>
    <row r="1" spans="2:2" s="66" customFormat="1" x14ac:dyDescent="0.2"/>
    <row r="2" spans="2:2" ht="15.75" x14ac:dyDescent="0.25">
      <c r="B2" s="5" t="s">
        <v>637</v>
      </c>
    </row>
    <row r="3" spans="2:2" s="180" customFormat="1" ht="45" x14ac:dyDescent="0.2">
      <c r="B3" s="178" t="s">
        <v>741</v>
      </c>
    </row>
    <row r="4" spans="2:2" s="180" customFormat="1" ht="38.25" customHeight="1" x14ac:dyDescent="0.2">
      <c r="B4" s="178" t="s">
        <v>459</v>
      </c>
    </row>
    <row r="5" spans="2:2" s="180" customFormat="1" x14ac:dyDescent="0.2">
      <c r="B5" s="178"/>
    </row>
    <row r="6" spans="2:2" ht="15.75" x14ac:dyDescent="0.25">
      <c r="B6" s="5" t="s">
        <v>641</v>
      </c>
    </row>
    <row r="7" spans="2:2" x14ac:dyDescent="0.2">
      <c r="B7" s="179" t="s">
        <v>458</v>
      </c>
    </row>
    <row r="8" spans="2:2" ht="13.5" customHeight="1" x14ac:dyDescent="0.25">
      <c r="B8" s="181"/>
    </row>
    <row r="9" spans="2:2" ht="15" customHeight="1" x14ac:dyDescent="0.2">
      <c r="B9" s="182" t="s">
        <v>402</v>
      </c>
    </row>
    <row r="10" spans="2:2" ht="60.75" customHeight="1" x14ac:dyDescent="0.2">
      <c r="B10" s="182" t="s">
        <v>742</v>
      </c>
    </row>
    <row r="11" spans="2:2" ht="113.25" customHeight="1" x14ac:dyDescent="0.2">
      <c r="B11" s="182" t="s">
        <v>745</v>
      </c>
    </row>
    <row r="12" spans="2:2" ht="43.5" customHeight="1" x14ac:dyDescent="0.2">
      <c r="B12" s="182" t="s">
        <v>746</v>
      </c>
    </row>
    <row r="13" spans="2:2" ht="17.25" customHeight="1" x14ac:dyDescent="0.2">
      <c r="B13" s="182"/>
    </row>
    <row r="14" spans="2:2" ht="80.25" customHeight="1" x14ac:dyDescent="0.2">
      <c r="B14" s="182" t="s">
        <v>740</v>
      </c>
    </row>
    <row r="15" spans="2:2" ht="36" customHeight="1" x14ac:dyDescent="0.2">
      <c r="B15" s="182" t="s">
        <v>752</v>
      </c>
    </row>
    <row r="16" spans="2:2" ht="24.75" customHeight="1" x14ac:dyDescent="0.25">
      <c r="B16" s="5" t="s">
        <v>642</v>
      </c>
    </row>
    <row r="17" spans="2:2" ht="30" x14ac:dyDescent="0.2">
      <c r="B17" s="18" t="s">
        <v>455</v>
      </c>
    </row>
    <row r="18" spans="2:2" ht="54.75" customHeight="1" x14ac:dyDescent="0.2">
      <c r="B18" s="18" t="s">
        <v>905</v>
      </c>
    </row>
    <row r="19" spans="2:2" ht="45.75" customHeight="1" x14ac:dyDescent="0.2">
      <c r="B19" s="18" t="s">
        <v>456</v>
      </c>
    </row>
    <row r="20" spans="2:2" ht="23.25" customHeight="1" x14ac:dyDescent="0.2">
      <c r="B20" s="18" t="s">
        <v>457</v>
      </c>
    </row>
    <row r="21" spans="2:2" s="184" customFormat="1" ht="27.75" customHeight="1" x14ac:dyDescent="0.25">
      <c r="B21" s="183" t="s">
        <v>638</v>
      </c>
    </row>
    <row r="22" spans="2:2" s="184" customFormat="1" ht="18.75" customHeight="1" x14ac:dyDescent="0.25">
      <c r="B22" s="183" t="s">
        <v>639</v>
      </c>
    </row>
    <row r="23" spans="2:2" s="184" customFormat="1" ht="124.5" customHeight="1" x14ac:dyDescent="0.2">
      <c r="B23" s="183" t="s">
        <v>640</v>
      </c>
    </row>
    <row r="24" spans="2:2" ht="26.25" customHeight="1" x14ac:dyDescent="0.2">
      <c r="B24" s="18" t="s">
        <v>460</v>
      </c>
    </row>
    <row r="26" spans="2:2" ht="15.75" x14ac:dyDescent="0.25">
      <c r="B26" s="181"/>
    </row>
    <row r="27" spans="2:2" x14ac:dyDescent="0.2">
      <c r="B27" s="182"/>
    </row>
    <row r="28" spans="2:2" x14ac:dyDescent="0.2">
      <c r="B28" s="182"/>
    </row>
    <row r="29" spans="2:2" x14ac:dyDescent="0.2">
      <c r="B29" s="182"/>
    </row>
    <row r="30" spans="2:2" x14ac:dyDescent="0.2">
      <c r="B30" s="182"/>
    </row>
    <row r="31" spans="2:2" x14ac:dyDescent="0.2">
      <c r="B31" s="182"/>
    </row>
    <row r="32" spans="2:2" x14ac:dyDescent="0.2">
      <c r="B32" s="1"/>
    </row>
    <row r="33" spans="2:2" x14ac:dyDescent="0.2">
      <c r="B33" s="1"/>
    </row>
    <row r="34" spans="2:2" x14ac:dyDescent="0.2">
      <c r="B34" s="1"/>
    </row>
    <row r="35" spans="2:2" x14ac:dyDescent="0.2">
      <c r="B35" s="1"/>
    </row>
    <row r="36" spans="2:2" x14ac:dyDescent="0.2">
      <c r="B36" s="1"/>
    </row>
    <row r="37" spans="2:2" x14ac:dyDescent="0.2">
      <c r="B37" s="1"/>
    </row>
    <row r="38" spans="2:2" x14ac:dyDescent="0.2">
      <c r="B38" s="1"/>
    </row>
    <row r="39" spans="2:2" x14ac:dyDescent="0.2">
      <c r="B39" s="1"/>
    </row>
    <row r="40" spans="2:2" x14ac:dyDescent="0.2">
      <c r="B40" s="1"/>
    </row>
    <row r="41" spans="2:2" x14ac:dyDescent="0.2">
      <c r="B41" s="1"/>
    </row>
  </sheetData>
  <phoneticPr fontId="15" type="noConversion"/>
  <pageMargins left="0.75" right="0.75" top="1" bottom="1" header="0.5" footer="0.5"/>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X303"/>
  <sheetViews>
    <sheetView showGridLines="0" zoomScale="75" workbookViewId="0"/>
  </sheetViews>
  <sheetFormatPr defaultColWidth="8.88671875" defaultRowHeight="15" x14ac:dyDescent="0.2"/>
  <cols>
    <col min="1" max="3" width="8.88671875" style="67"/>
    <col min="4" max="4" width="11.44140625" style="67" customWidth="1"/>
    <col min="5" max="5" width="15.6640625" style="67" bestFit="1" customWidth="1"/>
    <col min="6" max="6" width="12.5546875" style="67" bestFit="1" customWidth="1"/>
    <col min="7" max="7" width="12.44140625" style="67" customWidth="1"/>
    <col min="8" max="8" width="10.88671875" style="67" customWidth="1"/>
    <col min="9" max="9" width="12.6640625" style="67" customWidth="1"/>
    <col min="10" max="10" width="10.21875" style="67" bestFit="1" customWidth="1"/>
    <col min="11" max="11" width="16.21875" style="67" customWidth="1"/>
    <col min="12" max="12" width="13.6640625" style="67" customWidth="1"/>
    <col min="13" max="13" width="15.21875" style="68" customWidth="1"/>
    <col min="14" max="14" width="13.109375" style="67" bestFit="1" customWidth="1"/>
    <col min="15" max="15" width="13" style="67" customWidth="1"/>
    <col min="16" max="16" width="10.77734375" style="67" customWidth="1"/>
    <col min="17" max="17" width="10.6640625" style="67" customWidth="1"/>
    <col min="18" max="18" width="18.5546875" style="67" bestFit="1" customWidth="1"/>
    <col min="19" max="19" width="31.109375" style="67" bestFit="1" customWidth="1"/>
    <col min="20" max="20" width="10.44140625" style="67" bestFit="1" customWidth="1"/>
    <col min="21" max="21" width="10.109375" style="67" customWidth="1"/>
    <col min="22" max="22" width="9" style="67" customWidth="1"/>
    <col min="23" max="23" width="18.5546875" style="67" bestFit="1" customWidth="1"/>
    <col min="24" max="16384" width="8.88671875" style="67"/>
  </cols>
  <sheetData>
    <row r="1" spans="2:23" s="66" customFormat="1" x14ac:dyDescent="0.2">
      <c r="M1" s="69"/>
    </row>
    <row r="2" spans="2:23" s="66" customFormat="1" x14ac:dyDescent="0.2">
      <c r="M2" s="69"/>
    </row>
    <row r="3" spans="2:23" ht="15.75" x14ac:dyDescent="0.25">
      <c r="B3" s="5" t="s">
        <v>630</v>
      </c>
      <c r="R3" s="13" t="s">
        <v>918</v>
      </c>
    </row>
    <row r="4" spans="2:23" ht="15.75" x14ac:dyDescent="0.25">
      <c r="C4" s="67" t="s">
        <v>906</v>
      </c>
      <c r="M4" s="67"/>
      <c r="R4" s="68"/>
      <c r="T4" s="72" t="s">
        <v>523</v>
      </c>
      <c r="U4" s="72" t="s">
        <v>294</v>
      </c>
      <c r="V4" s="72" t="s">
        <v>524</v>
      </c>
      <c r="W4" s="72" t="s">
        <v>525</v>
      </c>
    </row>
    <row r="5" spans="2:23" x14ac:dyDescent="0.2">
      <c r="C5" s="67" t="s">
        <v>753</v>
      </c>
      <c r="R5" s="572" t="s">
        <v>526</v>
      </c>
      <c r="S5" s="74" t="s">
        <v>527</v>
      </c>
      <c r="T5" s="75">
        <v>6.77</v>
      </c>
      <c r="U5" s="76"/>
      <c r="V5" s="75">
        <v>3.5</v>
      </c>
      <c r="W5" s="75">
        <v>1.1000000000000001</v>
      </c>
    </row>
    <row r="6" spans="2:23" x14ac:dyDescent="0.2">
      <c r="C6" s="67" t="s">
        <v>771</v>
      </c>
      <c r="R6" s="573"/>
      <c r="S6" s="74" t="s">
        <v>528</v>
      </c>
      <c r="T6" s="75">
        <v>8.5</v>
      </c>
      <c r="U6" s="75">
        <v>5.27</v>
      </c>
      <c r="V6" s="75"/>
      <c r="W6" s="75"/>
    </row>
    <row r="7" spans="2:23" x14ac:dyDescent="0.2">
      <c r="C7" s="67" t="s">
        <v>907</v>
      </c>
      <c r="R7" s="573"/>
      <c r="S7" s="74" t="s">
        <v>529</v>
      </c>
      <c r="T7" s="75">
        <v>3.36</v>
      </c>
      <c r="U7" s="75"/>
      <c r="V7" s="75"/>
      <c r="W7" s="75"/>
    </row>
    <row r="8" spans="2:23" x14ac:dyDescent="0.2">
      <c r="R8" s="573"/>
      <c r="S8" s="74" t="s">
        <v>530</v>
      </c>
      <c r="T8" s="75">
        <v>6.77</v>
      </c>
      <c r="U8" s="75"/>
      <c r="V8" s="75"/>
      <c r="W8" s="75"/>
    </row>
    <row r="9" spans="2:23" x14ac:dyDescent="0.2">
      <c r="C9" s="67" t="s">
        <v>631</v>
      </c>
      <c r="R9" s="573"/>
      <c r="S9" s="74" t="s">
        <v>531</v>
      </c>
      <c r="T9" s="75">
        <v>6.77</v>
      </c>
      <c r="U9" s="75"/>
      <c r="V9" s="75"/>
      <c r="W9" s="75"/>
    </row>
    <row r="10" spans="2:23" x14ac:dyDescent="0.2">
      <c r="C10" s="67" t="s">
        <v>919</v>
      </c>
      <c r="R10" s="573"/>
      <c r="S10" s="74" t="s">
        <v>532</v>
      </c>
      <c r="T10" s="75"/>
      <c r="U10" s="75"/>
      <c r="V10" s="75"/>
      <c r="W10" s="75">
        <v>1.32</v>
      </c>
    </row>
    <row r="11" spans="2:23" x14ac:dyDescent="0.2">
      <c r="C11" s="67" t="s">
        <v>633</v>
      </c>
      <c r="R11" s="573"/>
      <c r="S11" s="74" t="s">
        <v>533</v>
      </c>
      <c r="T11" s="75"/>
      <c r="U11" s="75"/>
      <c r="V11" s="75"/>
      <c r="W11" s="75">
        <v>3.23</v>
      </c>
    </row>
    <row r="12" spans="2:23" x14ac:dyDescent="0.2">
      <c r="C12" s="67" t="s">
        <v>634</v>
      </c>
      <c r="R12" s="573"/>
      <c r="S12" s="74" t="s">
        <v>534</v>
      </c>
      <c r="T12" s="75"/>
      <c r="U12" s="75">
        <v>5.27</v>
      </c>
      <c r="V12" s="75"/>
      <c r="W12" s="75"/>
    </row>
    <row r="13" spans="2:23" x14ac:dyDescent="0.2">
      <c r="R13" s="573"/>
      <c r="S13" s="74" t="s">
        <v>535</v>
      </c>
      <c r="T13" s="85"/>
      <c r="U13" s="75">
        <v>4.7300000000000004</v>
      </c>
      <c r="V13" s="85"/>
      <c r="W13" s="85"/>
    </row>
    <row r="14" spans="2:23" x14ac:dyDescent="0.2">
      <c r="C14" s="67" t="s">
        <v>635</v>
      </c>
      <c r="R14" s="574"/>
      <c r="S14" s="74" t="s">
        <v>536</v>
      </c>
      <c r="T14" s="75"/>
      <c r="U14" s="75">
        <v>5</v>
      </c>
      <c r="V14" s="75"/>
      <c r="W14" s="75"/>
    </row>
    <row r="15" spans="2:23" x14ac:dyDescent="0.2">
      <c r="R15" s="104" t="s">
        <v>537</v>
      </c>
      <c r="S15" s="74" t="s">
        <v>538</v>
      </c>
      <c r="T15" s="75">
        <v>4.1900000000000004</v>
      </c>
      <c r="U15" s="75">
        <v>4.2300000000000004</v>
      </c>
      <c r="V15" s="75"/>
      <c r="W15" s="75">
        <v>1.82</v>
      </c>
    </row>
    <row r="16" spans="2:23" x14ac:dyDescent="0.2">
      <c r="C16" s="67" t="s">
        <v>908</v>
      </c>
      <c r="R16" s="104"/>
      <c r="S16" s="74" t="s">
        <v>539</v>
      </c>
      <c r="T16" s="75"/>
      <c r="U16" s="75"/>
      <c r="V16" s="75">
        <v>3</v>
      </c>
      <c r="W16" s="75"/>
    </row>
    <row r="17" spans="2:24" x14ac:dyDescent="0.2">
      <c r="C17" s="67" t="s">
        <v>909</v>
      </c>
      <c r="R17" s="104"/>
      <c r="S17" s="74" t="s">
        <v>540</v>
      </c>
      <c r="T17" s="75"/>
      <c r="U17" s="75"/>
      <c r="V17" s="75">
        <v>2.5</v>
      </c>
      <c r="W17" s="75"/>
    </row>
    <row r="18" spans="2:24" x14ac:dyDescent="0.2">
      <c r="M18" s="67"/>
      <c r="R18" s="104"/>
      <c r="S18" s="74" t="s">
        <v>541</v>
      </c>
      <c r="T18" s="75">
        <v>5.39</v>
      </c>
      <c r="U18" s="75"/>
      <c r="V18" s="75"/>
      <c r="W18" s="75"/>
    </row>
    <row r="19" spans="2:24" x14ac:dyDescent="0.2">
      <c r="M19" s="67"/>
      <c r="R19" s="104"/>
      <c r="S19" s="74" t="s">
        <v>542</v>
      </c>
      <c r="T19" s="75">
        <v>6.22</v>
      </c>
      <c r="U19" s="75"/>
      <c r="V19" s="75"/>
      <c r="W19" s="75"/>
    </row>
    <row r="20" spans="2:24" x14ac:dyDescent="0.2">
      <c r="M20" s="67"/>
      <c r="R20" s="104"/>
      <c r="S20" s="160" t="s">
        <v>543</v>
      </c>
      <c r="T20" s="90">
        <v>1.58</v>
      </c>
      <c r="U20" s="75">
        <v>4.2300000000000004</v>
      </c>
      <c r="V20" s="75"/>
      <c r="W20" s="75"/>
      <c r="X20" s="67" t="s">
        <v>544</v>
      </c>
    </row>
    <row r="21" spans="2:24" ht="15.75" x14ac:dyDescent="0.25">
      <c r="C21" s="66"/>
      <c r="D21" s="70" t="s">
        <v>496</v>
      </c>
      <c r="E21" s="174"/>
      <c r="F21" s="174"/>
      <c r="G21" s="174"/>
      <c r="J21" s="84" t="s">
        <v>508</v>
      </c>
      <c r="K21" s="174"/>
      <c r="L21" s="174"/>
      <c r="M21" s="174"/>
      <c r="R21" s="104" t="s">
        <v>545</v>
      </c>
      <c r="S21" s="74"/>
      <c r="T21" s="75">
        <v>5.99</v>
      </c>
      <c r="U21" s="75">
        <v>35</v>
      </c>
      <c r="V21" s="75">
        <v>10</v>
      </c>
      <c r="W21" s="75">
        <v>27.28</v>
      </c>
    </row>
    <row r="22" spans="2:24" x14ac:dyDescent="0.2">
      <c r="D22" s="67" t="s">
        <v>507</v>
      </c>
      <c r="J22" s="67" t="s">
        <v>522</v>
      </c>
      <c r="M22" s="67"/>
      <c r="R22" s="104" t="s">
        <v>546</v>
      </c>
      <c r="S22" s="93"/>
      <c r="T22" s="85"/>
      <c r="U22" s="75">
        <v>0</v>
      </c>
      <c r="V22" s="85"/>
      <c r="W22" s="85"/>
    </row>
    <row r="23" spans="2:24" x14ac:dyDescent="0.2">
      <c r="D23" s="67" t="s">
        <v>594</v>
      </c>
      <c r="E23" s="175">
        <v>39938</v>
      </c>
      <c r="F23" s="71" t="s">
        <v>506</v>
      </c>
      <c r="G23" s="175">
        <v>41089</v>
      </c>
      <c r="J23" s="67" t="s">
        <v>594</v>
      </c>
      <c r="K23" s="175">
        <v>39965</v>
      </c>
      <c r="L23" s="71" t="s">
        <v>506</v>
      </c>
      <c r="M23" s="175">
        <v>41089</v>
      </c>
      <c r="R23" s="104" t="s">
        <v>547</v>
      </c>
      <c r="S23" s="93"/>
      <c r="T23" s="85"/>
      <c r="U23" s="75">
        <v>2</v>
      </c>
      <c r="V23" s="85"/>
      <c r="W23" s="85"/>
    </row>
    <row r="24" spans="2:24" x14ac:dyDescent="0.2">
      <c r="M24" s="67"/>
      <c r="R24" s="575" t="s">
        <v>548</v>
      </c>
      <c r="S24" s="74" t="s">
        <v>549</v>
      </c>
      <c r="T24" s="75">
        <v>5.99</v>
      </c>
      <c r="U24" s="75"/>
      <c r="V24" s="75">
        <v>2</v>
      </c>
      <c r="W24" s="75"/>
    </row>
    <row r="25" spans="2:24" x14ac:dyDescent="0.2">
      <c r="D25" s="569" t="s">
        <v>632</v>
      </c>
      <c r="E25" s="570"/>
      <c r="F25" s="570"/>
      <c r="G25" s="570"/>
      <c r="H25" s="571"/>
      <c r="K25" s="107" t="s">
        <v>509</v>
      </c>
      <c r="L25" s="107" t="s">
        <v>510</v>
      </c>
      <c r="M25" s="67"/>
      <c r="R25" s="575"/>
      <c r="S25" s="74" t="s">
        <v>550</v>
      </c>
      <c r="T25" s="75"/>
      <c r="U25" s="75"/>
      <c r="V25" s="75">
        <v>4</v>
      </c>
      <c r="W25" s="75"/>
    </row>
    <row r="26" spans="2:24" x14ac:dyDescent="0.2">
      <c r="B26" s="67" t="s">
        <v>595</v>
      </c>
      <c r="D26" s="105" t="s">
        <v>497</v>
      </c>
      <c r="E26" s="73" t="s">
        <v>498</v>
      </c>
      <c r="F26" s="73" t="s">
        <v>499</v>
      </c>
      <c r="G26" s="73" t="s">
        <v>500</v>
      </c>
      <c r="H26" s="106" t="s">
        <v>501</v>
      </c>
      <c r="J26" s="86" t="s">
        <v>518</v>
      </c>
      <c r="K26" s="87" t="s">
        <v>511</v>
      </c>
      <c r="L26" s="87" t="s">
        <v>512</v>
      </c>
      <c r="M26" s="67"/>
      <c r="R26" s="104" t="s">
        <v>551</v>
      </c>
      <c r="S26" s="93"/>
      <c r="T26" s="85"/>
      <c r="U26" s="75">
        <v>30</v>
      </c>
      <c r="V26" s="85"/>
      <c r="W26" s="85">
        <v>34.82</v>
      </c>
    </row>
    <row r="27" spans="2:24" x14ac:dyDescent="0.2">
      <c r="C27" s="77" t="s">
        <v>502</v>
      </c>
      <c r="D27" s="78">
        <v>194.91603053435114</v>
      </c>
      <c r="E27" s="79">
        <v>189.49469696969697</v>
      </c>
      <c r="F27" s="79">
        <v>168.44962406015037</v>
      </c>
      <c r="G27" s="79">
        <v>164.37727272727273</v>
      </c>
      <c r="H27" s="80">
        <v>164.55826771653545</v>
      </c>
      <c r="J27" s="86" t="s">
        <v>519</v>
      </c>
      <c r="K27" s="87" t="s">
        <v>513</v>
      </c>
      <c r="L27" s="87" t="s">
        <v>514</v>
      </c>
      <c r="M27" s="67"/>
      <c r="R27" s="572" t="s">
        <v>552</v>
      </c>
      <c r="S27" s="74" t="s">
        <v>553</v>
      </c>
      <c r="T27" s="75">
        <v>2.52</v>
      </c>
      <c r="U27" s="75">
        <v>1.59</v>
      </c>
      <c r="V27" s="75">
        <v>3</v>
      </c>
      <c r="W27" s="75">
        <v>1.73</v>
      </c>
    </row>
    <row r="28" spans="2:24" x14ac:dyDescent="0.2">
      <c r="C28" s="77" t="s">
        <v>503</v>
      </c>
      <c r="D28" s="78">
        <v>198</v>
      </c>
      <c r="E28" s="79">
        <v>193</v>
      </c>
      <c r="F28" s="79">
        <v>169</v>
      </c>
      <c r="G28" s="79">
        <v>165</v>
      </c>
      <c r="H28" s="80">
        <v>163</v>
      </c>
      <c r="J28" s="86" t="s">
        <v>520</v>
      </c>
      <c r="K28" s="88" t="s">
        <v>515</v>
      </c>
      <c r="L28" s="88" t="s">
        <v>516</v>
      </c>
      <c r="M28" s="67"/>
      <c r="R28" s="573"/>
      <c r="S28" s="74" t="s">
        <v>554</v>
      </c>
      <c r="T28" s="75">
        <v>3.78</v>
      </c>
      <c r="U28" s="75"/>
      <c r="V28" s="75">
        <v>5</v>
      </c>
      <c r="W28" s="75"/>
    </row>
    <row r="29" spans="2:24" ht="15.75" thickBot="1" x14ac:dyDescent="0.25">
      <c r="C29" s="77" t="s">
        <v>504</v>
      </c>
      <c r="D29" s="78">
        <v>259.2</v>
      </c>
      <c r="E29" s="79">
        <v>227.4</v>
      </c>
      <c r="F29" s="79">
        <v>200.4</v>
      </c>
      <c r="G29" s="79">
        <v>189</v>
      </c>
      <c r="H29" s="80">
        <v>190</v>
      </c>
      <c r="J29" s="89" t="s">
        <v>521</v>
      </c>
      <c r="K29" s="88" t="s">
        <v>517</v>
      </c>
      <c r="L29" s="88" t="s">
        <v>517</v>
      </c>
      <c r="M29" s="67"/>
      <c r="R29" s="573"/>
      <c r="S29" s="74" t="s">
        <v>555</v>
      </c>
      <c r="T29" s="75"/>
      <c r="U29" s="75"/>
      <c r="V29" s="75">
        <v>4</v>
      </c>
      <c r="W29" s="75"/>
    </row>
    <row r="30" spans="2:24" x14ac:dyDescent="0.2">
      <c r="C30" s="77" t="s">
        <v>505</v>
      </c>
      <c r="D30" s="81">
        <v>137</v>
      </c>
      <c r="E30" s="82">
        <v>125</v>
      </c>
      <c r="F30" s="82">
        <v>134</v>
      </c>
      <c r="G30" s="82">
        <v>133</v>
      </c>
      <c r="H30" s="83">
        <v>131</v>
      </c>
      <c r="M30" s="67"/>
      <c r="R30" s="573"/>
      <c r="S30" s="74" t="s">
        <v>556</v>
      </c>
      <c r="T30" s="75"/>
      <c r="U30" s="75"/>
      <c r="V30" s="75">
        <v>5</v>
      </c>
      <c r="W30" s="75"/>
    </row>
    <row r="31" spans="2:24" x14ac:dyDescent="0.2">
      <c r="I31" s="174"/>
      <c r="J31" s="91" t="s">
        <v>502</v>
      </c>
      <c r="K31" s="92">
        <v>3.2561682242990639</v>
      </c>
      <c r="L31" s="92">
        <v>3.1561682242990678</v>
      </c>
      <c r="M31" s="67"/>
      <c r="R31" s="573"/>
      <c r="S31" s="74" t="s">
        <v>557</v>
      </c>
      <c r="T31" s="75"/>
      <c r="U31" s="75"/>
      <c r="V31" s="75">
        <v>4</v>
      </c>
      <c r="W31" s="75"/>
    </row>
    <row r="32" spans="2:24" x14ac:dyDescent="0.2">
      <c r="J32" s="91" t="s">
        <v>503</v>
      </c>
      <c r="K32" s="92">
        <v>3.25</v>
      </c>
      <c r="L32" s="92">
        <v>3.15</v>
      </c>
      <c r="M32" s="67"/>
      <c r="R32" s="574"/>
      <c r="S32" s="74" t="s">
        <v>558</v>
      </c>
      <c r="T32" s="75"/>
      <c r="U32" s="75"/>
      <c r="V32" s="75">
        <v>6</v>
      </c>
      <c r="W32" s="75"/>
    </row>
    <row r="33" spans="8:24" ht="15.75" x14ac:dyDescent="0.25">
      <c r="H33" s="174"/>
      <c r="J33" s="91" t="s">
        <v>504</v>
      </c>
      <c r="K33" s="92">
        <v>3.65</v>
      </c>
      <c r="L33" s="92">
        <v>3.55</v>
      </c>
      <c r="M33" s="67"/>
      <c r="R33" s="104" t="s">
        <v>563</v>
      </c>
      <c r="S33" s="94"/>
      <c r="T33" s="95">
        <v>1.37</v>
      </c>
      <c r="U33" s="96">
        <v>10</v>
      </c>
      <c r="V33" s="85"/>
      <c r="W33" s="85"/>
      <c r="X33" s="67" t="s">
        <v>564</v>
      </c>
    </row>
    <row r="34" spans="8:24" ht="15.75" x14ac:dyDescent="0.25">
      <c r="J34" s="91" t="s">
        <v>505</v>
      </c>
      <c r="K34" s="92">
        <v>2.85</v>
      </c>
      <c r="L34" s="92">
        <v>2.75</v>
      </c>
      <c r="M34" s="67"/>
      <c r="R34" s="104" t="s">
        <v>565</v>
      </c>
      <c r="S34" s="94"/>
      <c r="T34" s="95">
        <v>42</v>
      </c>
      <c r="U34" s="96"/>
      <c r="V34" s="85"/>
      <c r="W34" s="85"/>
    </row>
    <row r="35" spans="8:24" x14ac:dyDescent="0.2">
      <c r="R35" s="104" t="s">
        <v>566</v>
      </c>
      <c r="S35" s="93"/>
      <c r="T35" s="75">
        <v>2.0499999999999998</v>
      </c>
      <c r="U35" s="75">
        <v>0.32</v>
      </c>
      <c r="V35" s="85"/>
      <c r="W35" s="85">
        <v>0.77</v>
      </c>
    </row>
    <row r="36" spans="8:24" x14ac:dyDescent="0.2">
      <c r="R36" s="104" t="s">
        <v>567</v>
      </c>
      <c r="S36" s="93"/>
      <c r="T36" s="75">
        <v>199.5</v>
      </c>
      <c r="U36" s="85"/>
      <c r="V36" s="85"/>
      <c r="W36" s="85">
        <v>143.59</v>
      </c>
    </row>
    <row r="37" spans="8:24" x14ac:dyDescent="0.2">
      <c r="R37" s="104" t="s">
        <v>568</v>
      </c>
      <c r="S37" s="93"/>
      <c r="T37" s="75">
        <v>1.1599999999999999</v>
      </c>
      <c r="U37" s="85"/>
      <c r="V37" s="85"/>
      <c r="W37" s="85"/>
    </row>
    <row r="38" spans="8:24" x14ac:dyDescent="0.2">
      <c r="R38" s="104" t="s">
        <v>569</v>
      </c>
      <c r="S38" s="93"/>
      <c r="T38" s="85"/>
      <c r="U38" s="95">
        <v>15</v>
      </c>
      <c r="V38" s="85"/>
      <c r="W38" s="85"/>
      <c r="X38" s="67" t="s">
        <v>570</v>
      </c>
    </row>
    <row r="39" spans="8:24" x14ac:dyDescent="0.2">
      <c r="R39" s="572" t="s">
        <v>571</v>
      </c>
      <c r="S39" s="93" t="s">
        <v>572</v>
      </c>
      <c r="T39" s="85"/>
      <c r="U39" s="95">
        <v>0.44</v>
      </c>
      <c r="V39" s="85"/>
      <c r="W39" s="85"/>
    </row>
    <row r="40" spans="8:24" x14ac:dyDescent="0.2">
      <c r="R40" s="573"/>
      <c r="S40" s="93" t="s">
        <v>573</v>
      </c>
      <c r="T40" s="85"/>
      <c r="U40" s="95">
        <v>0.73</v>
      </c>
      <c r="V40" s="85"/>
      <c r="W40" s="85"/>
    </row>
    <row r="41" spans="8:24" x14ac:dyDescent="0.2">
      <c r="R41" s="573"/>
      <c r="S41" s="93" t="s">
        <v>574</v>
      </c>
      <c r="T41" s="85"/>
      <c r="U41" s="95">
        <v>0.5</v>
      </c>
      <c r="V41" s="85"/>
      <c r="W41" s="85"/>
    </row>
    <row r="42" spans="8:24" x14ac:dyDescent="0.2">
      <c r="R42" s="573"/>
      <c r="S42" s="93" t="s">
        <v>575</v>
      </c>
      <c r="T42" s="85">
        <v>0.71</v>
      </c>
      <c r="U42" s="95">
        <v>0.5</v>
      </c>
      <c r="V42" s="85"/>
      <c r="W42" s="85"/>
    </row>
    <row r="43" spans="8:24" x14ac:dyDescent="0.2">
      <c r="R43" s="573"/>
      <c r="S43" s="93" t="s">
        <v>576</v>
      </c>
      <c r="T43" s="75">
        <v>0.74</v>
      </c>
      <c r="U43" s="95"/>
      <c r="V43" s="85"/>
      <c r="W43" s="85"/>
    </row>
    <row r="44" spans="8:24" x14ac:dyDescent="0.2">
      <c r="R44" s="574"/>
      <c r="S44" s="93" t="s">
        <v>577</v>
      </c>
      <c r="T44" s="75">
        <v>2.0499999999999998</v>
      </c>
      <c r="U44" s="95"/>
      <c r="V44" s="85"/>
      <c r="W44" s="85"/>
    </row>
    <row r="45" spans="8:24" x14ac:dyDescent="0.2">
      <c r="R45" s="104" t="s">
        <v>578</v>
      </c>
      <c r="S45" s="93"/>
      <c r="T45" s="97"/>
      <c r="U45" s="75">
        <v>4.18</v>
      </c>
      <c r="V45" s="85"/>
      <c r="W45" s="85"/>
    </row>
    <row r="46" spans="8:24" x14ac:dyDescent="0.2">
      <c r="R46" s="68"/>
      <c r="T46" s="98"/>
      <c r="U46" s="98"/>
      <c r="V46" s="98"/>
      <c r="W46" s="98"/>
    </row>
    <row r="47" spans="8:24" ht="15.75" x14ac:dyDescent="0.25">
      <c r="R47" s="99" t="s">
        <v>579</v>
      </c>
      <c r="S47" s="100"/>
      <c r="T47" s="101">
        <f>SUM(T5,T18,T33,T37)</f>
        <v>14.690000000000001</v>
      </c>
      <c r="U47" s="102"/>
      <c r="V47" s="103"/>
      <c r="W47" s="103"/>
      <c r="X47" s="100"/>
    </row>
    <row r="52" spans="17:17" ht="15.75" x14ac:dyDescent="0.25">
      <c r="Q52" s="5"/>
    </row>
    <row r="99" spans="3:16" x14ac:dyDescent="0.2">
      <c r="I99" s="67" t="s">
        <v>624</v>
      </c>
    </row>
    <row r="100" spans="3:16" ht="15.75" x14ac:dyDescent="0.25">
      <c r="C100" s="70" t="s">
        <v>496</v>
      </c>
      <c r="J100" s="163">
        <v>0.52</v>
      </c>
      <c r="N100" s="84" t="s">
        <v>508</v>
      </c>
      <c r="O100" s="112"/>
      <c r="P100" s="112"/>
    </row>
    <row r="101" spans="3:16" ht="75" x14ac:dyDescent="0.2">
      <c r="C101" s="161" t="s">
        <v>596</v>
      </c>
      <c r="D101" s="120" t="s">
        <v>627</v>
      </c>
      <c r="E101" s="110" t="s">
        <v>628</v>
      </c>
      <c r="F101" s="110" t="s">
        <v>629</v>
      </c>
      <c r="G101" s="162" t="s">
        <v>622</v>
      </c>
      <c r="H101" s="162" t="s">
        <v>623</v>
      </c>
      <c r="I101" s="120" t="s">
        <v>626</v>
      </c>
      <c r="J101" s="120" t="s">
        <v>626</v>
      </c>
      <c r="K101" s="164" t="s">
        <v>625</v>
      </c>
      <c r="L101" s="164" t="s">
        <v>625</v>
      </c>
      <c r="M101" s="165" t="s">
        <v>597</v>
      </c>
      <c r="N101" s="161" t="s">
        <v>596</v>
      </c>
      <c r="O101" s="162" t="s">
        <v>509</v>
      </c>
      <c r="P101" s="162" t="s">
        <v>510</v>
      </c>
    </row>
    <row r="102" spans="3:16" x14ac:dyDescent="0.2">
      <c r="C102" s="109">
        <v>39969</v>
      </c>
      <c r="D102" s="121">
        <v>180</v>
      </c>
      <c r="E102" s="115">
        <v>150</v>
      </c>
      <c r="F102" s="118">
        <v>152</v>
      </c>
      <c r="G102" s="166"/>
      <c r="H102" s="166"/>
      <c r="I102" s="166"/>
      <c r="J102" s="166"/>
      <c r="K102" s="166"/>
      <c r="L102" s="166"/>
      <c r="M102" s="166"/>
      <c r="N102" s="169">
        <v>39965</v>
      </c>
      <c r="O102" s="113"/>
      <c r="P102" s="172"/>
    </row>
    <row r="103" spans="3:16" x14ac:dyDescent="0.2">
      <c r="C103" s="109">
        <v>39976</v>
      </c>
      <c r="D103" s="121">
        <v>164</v>
      </c>
      <c r="E103" s="115">
        <v>150</v>
      </c>
      <c r="F103" s="118">
        <v>148</v>
      </c>
      <c r="G103" s="167"/>
      <c r="H103" s="167"/>
      <c r="I103" s="167"/>
      <c r="J103" s="167"/>
      <c r="K103" s="167"/>
      <c r="L103" s="167"/>
      <c r="M103" s="167"/>
      <c r="N103" s="170">
        <v>40028</v>
      </c>
      <c r="O103" s="111"/>
      <c r="P103" s="173"/>
    </row>
    <row r="104" spans="3:16" x14ac:dyDescent="0.2">
      <c r="C104" s="109">
        <v>39983</v>
      </c>
      <c r="D104" s="121">
        <v>173</v>
      </c>
      <c r="E104" s="115">
        <v>162</v>
      </c>
      <c r="F104" s="118">
        <v>154</v>
      </c>
      <c r="G104" s="167"/>
      <c r="H104" s="167"/>
      <c r="I104" s="167"/>
      <c r="J104" s="167"/>
      <c r="K104" s="167"/>
      <c r="L104" s="167"/>
      <c r="M104" s="167"/>
      <c r="N104" s="170">
        <v>40051</v>
      </c>
      <c r="O104" s="111"/>
      <c r="P104" s="173"/>
    </row>
    <row r="105" spans="3:16" x14ac:dyDescent="0.2">
      <c r="C105" s="109">
        <v>39990</v>
      </c>
      <c r="D105" s="121">
        <v>173</v>
      </c>
      <c r="E105" s="115">
        <v>153</v>
      </c>
      <c r="F105" s="118">
        <v>154</v>
      </c>
      <c r="G105" s="167"/>
      <c r="H105" s="167"/>
      <c r="I105" s="167"/>
      <c r="J105" s="167"/>
      <c r="K105" s="167"/>
      <c r="L105" s="167"/>
      <c r="M105" s="167"/>
      <c r="N105" s="170">
        <v>40086</v>
      </c>
      <c r="P105" s="167"/>
    </row>
    <row r="106" spans="3:16" x14ac:dyDescent="0.2">
      <c r="C106" s="109">
        <v>39997</v>
      </c>
      <c r="D106" s="121">
        <v>155</v>
      </c>
      <c r="E106" s="115">
        <v>151</v>
      </c>
      <c r="F106" s="118">
        <v>152</v>
      </c>
      <c r="G106" s="167"/>
      <c r="H106" s="167"/>
      <c r="I106" s="167"/>
      <c r="J106" s="167"/>
      <c r="K106" s="167"/>
      <c r="L106" s="167"/>
      <c r="M106" s="167"/>
      <c r="N106" s="170">
        <v>40099</v>
      </c>
      <c r="O106" s="111">
        <v>2.85</v>
      </c>
      <c r="P106" s="173">
        <v>2.75</v>
      </c>
    </row>
    <row r="107" spans="3:16" x14ac:dyDescent="0.2">
      <c r="C107" s="109">
        <v>40004</v>
      </c>
      <c r="D107" s="121">
        <v>160</v>
      </c>
      <c r="E107" s="115">
        <v>153</v>
      </c>
      <c r="F107" s="118">
        <v>163</v>
      </c>
      <c r="G107" s="167"/>
      <c r="H107" s="167"/>
      <c r="I107" s="167"/>
      <c r="J107" s="167"/>
      <c r="K107" s="167"/>
      <c r="L107" s="167"/>
      <c r="M107" s="167"/>
      <c r="N107" s="170">
        <v>40105</v>
      </c>
      <c r="O107" s="111"/>
      <c r="P107" s="173"/>
    </row>
    <row r="108" spans="3:16" x14ac:dyDescent="0.2">
      <c r="C108" s="109">
        <v>40011</v>
      </c>
      <c r="D108" s="121">
        <v>165</v>
      </c>
      <c r="E108" s="115">
        <v>154</v>
      </c>
      <c r="F108" s="118">
        <v>156</v>
      </c>
      <c r="G108" s="167"/>
      <c r="H108" s="167"/>
      <c r="I108" s="167"/>
      <c r="J108" s="167"/>
      <c r="K108" s="167"/>
      <c r="L108" s="167"/>
      <c r="M108" s="167"/>
      <c r="N108" s="170">
        <v>40112</v>
      </c>
      <c r="O108" s="111"/>
      <c r="P108" s="173"/>
    </row>
    <row r="109" spans="3:16" x14ac:dyDescent="0.2">
      <c r="C109" s="109">
        <v>40018</v>
      </c>
      <c r="D109" s="121">
        <v>163</v>
      </c>
      <c r="E109" s="115">
        <v>158</v>
      </c>
      <c r="F109" s="118">
        <v>158</v>
      </c>
      <c r="G109" s="167"/>
      <c r="H109" s="167"/>
      <c r="I109" s="167"/>
      <c r="J109" s="167"/>
      <c r="K109" s="167"/>
      <c r="L109" s="167"/>
      <c r="M109" s="167"/>
      <c r="N109" s="170">
        <v>40116</v>
      </c>
      <c r="O109" s="111"/>
      <c r="P109" s="173"/>
    </row>
    <row r="110" spans="3:16" x14ac:dyDescent="0.2">
      <c r="C110" s="109">
        <v>40025</v>
      </c>
      <c r="D110" s="121">
        <v>163</v>
      </c>
      <c r="E110" s="115">
        <v>162</v>
      </c>
      <c r="F110" s="118">
        <v>148</v>
      </c>
      <c r="G110" s="167"/>
      <c r="H110" s="167"/>
      <c r="I110" s="167"/>
      <c r="J110" s="167"/>
      <c r="K110" s="167"/>
      <c r="L110" s="167"/>
      <c r="M110" s="167"/>
      <c r="N110" s="170">
        <v>40189</v>
      </c>
      <c r="O110" s="111">
        <v>2.9</v>
      </c>
      <c r="P110" s="173">
        <v>2.8</v>
      </c>
    </row>
    <row r="111" spans="3:16" x14ac:dyDescent="0.2">
      <c r="C111" s="109">
        <v>40032</v>
      </c>
      <c r="D111" s="121">
        <v>160</v>
      </c>
      <c r="E111" s="115">
        <v>150</v>
      </c>
      <c r="F111" s="118">
        <v>153</v>
      </c>
      <c r="G111" s="167"/>
      <c r="H111" s="167"/>
      <c r="I111" s="167"/>
      <c r="J111" s="167"/>
      <c r="K111" s="167"/>
      <c r="L111" s="167"/>
      <c r="M111" s="167"/>
      <c r="N111" s="170">
        <v>40193</v>
      </c>
      <c r="O111" s="111">
        <v>3.02</v>
      </c>
      <c r="P111" s="173">
        <v>2.92</v>
      </c>
    </row>
    <row r="112" spans="3:16" x14ac:dyDescent="0.2">
      <c r="C112" s="109">
        <v>40039</v>
      </c>
      <c r="D112" s="121">
        <v>140</v>
      </c>
      <c r="E112" s="115">
        <v>139</v>
      </c>
      <c r="F112" s="118">
        <v>148</v>
      </c>
      <c r="G112" s="167"/>
      <c r="H112" s="167"/>
      <c r="I112" s="167"/>
      <c r="J112" s="167"/>
      <c r="K112" s="167"/>
      <c r="L112" s="167"/>
      <c r="M112" s="167"/>
      <c r="N112" s="170">
        <v>40203</v>
      </c>
      <c r="O112" s="111">
        <v>3.02</v>
      </c>
      <c r="P112" s="173">
        <v>2.92</v>
      </c>
    </row>
    <row r="113" spans="3:16" x14ac:dyDescent="0.2">
      <c r="C113" s="109">
        <v>40046</v>
      </c>
      <c r="D113" s="121">
        <v>155</v>
      </c>
      <c r="E113" s="115">
        <v>153</v>
      </c>
      <c r="F113" s="118">
        <v>152</v>
      </c>
      <c r="G113" s="167"/>
      <c r="H113" s="167"/>
      <c r="I113" s="167"/>
      <c r="J113" s="167"/>
      <c r="K113" s="167"/>
      <c r="L113" s="167"/>
      <c r="M113" s="167"/>
      <c r="N113" s="170">
        <v>40206</v>
      </c>
      <c r="O113" s="111">
        <v>3.07</v>
      </c>
      <c r="P113" s="173">
        <v>2.97</v>
      </c>
    </row>
    <row r="114" spans="3:16" x14ac:dyDescent="0.2">
      <c r="C114" s="109">
        <v>40053</v>
      </c>
      <c r="D114" s="121">
        <v>166</v>
      </c>
      <c r="E114" s="115">
        <v>148</v>
      </c>
      <c r="F114" s="118">
        <v>155</v>
      </c>
      <c r="G114" s="167"/>
      <c r="H114" s="167"/>
      <c r="I114" s="167"/>
      <c r="J114" s="167"/>
      <c r="K114" s="167"/>
      <c r="L114" s="167"/>
      <c r="M114" s="167"/>
      <c r="N114" s="170">
        <v>40207</v>
      </c>
      <c r="O114" s="111"/>
      <c r="P114" s="173"/>
    </row>
    <row r="115" spans="3:16" x14ac:dyDescent="0.2">
      <c r="C115" s="109">
        <v>40060</v>
      </c>
      <c r="D115" s="121">
        <v>166</v>
      </c>
      <c r="E115" s="115">
        <v>155</v>
      </c>
      <c r="F115" s="118">
        <v>151</v>
      </c>
      <c r="G115" s="167"/>
      <c r="H115" s="167"/>
      <c r="I115" s="167"/>
      <c r="J115" s="167"/>
      <c r="K115" s="167"/>
      <c r="L115" s="167"/>
      <c r="M115" s="167"/>
      <c r="N115" s="170">
        <v>40212</v>
      </c>
      <c r="O115" s="111"/>
      <c r="P115" s="173"/>
    </row>
    <row r="116" spans="3:16" x14ac:dyDescent="0.2">
      <c r="C116" s="109">
        <v>40067</v>
      </c>
      <c r="D116" s="121">
        <v>160</v>
      </c>
      <c r="E116" s="115">
        <v>147</v>
      </c>
      <c r="F116" s="118"/>
      <c r="G116" s="167"/>
      <c r="H116" s="167"/>
      <c r="I116" s="167"/>
      <c r="J116" s="167"/>
      <c r="K116" s="167"/>
      <c r="L116" s="167"/>
      <c r="M116" s="167"/>
      <c r="N116" s="170">
        <v>40226</v>
      </c>
      <c r="O116" s="111"/>
      <c r="P116" s="173"/>
    </row>
    <row r="117" spans="3:16" x14ac:dyDescent="0.2">
      <c r="C117" s="109">
        <v>40074</v>
      </c>
      <c r="D117" s="121">
        <v>147</v>
      </c>
      <c r="E117" s="115">
        <v>144</v>
      </c>
      <c r="F117" s="118">
        <v>150</v>
      </c>
      <c r="G117" s="167"/>
      <c r="H117" s="167"/>
      <c r="I117" s="167"/>
      <c r="J117" s="167"/>
      <c r="K117" s="167"/>
      <c r="L117" s="167"/>
      <c r="M117" s="167"/>
      <c r="N117" s="170">
        <v>40235</v>
      </c>
      <c r="O117" s="111"/>
      <c r="P117" s="173"/>
    </row>
    <row r="118" spans="3:16" x14ac:dyDescent="0.2">
      <c r="C118" s="109">
        <v>40081</v>
      </c>
      <c r="D118" s="121">
        <v>153</v>
      </c>
      <c r="E118" s="115">
        <v>140</v>
      </c>
      <c r="F118" s="118">
        <v>145</v>
      </c>
      <c r="G118" s="167"/>
      <c r="H118" s="167"/>
      <c r="I118" s="167"/>
      <c r="J118" s="167"/>
      <c r="K118" s="167"/>
      <c r="L118" s="167"/>
      <c r="M118" s="167"/>
      <c r="N118" s="170">
        <v>40245</v>
      </c>
      <c r="O118" s="111"/>
      <c r="P118" s="173"/>
    </row>
    <row r="119" spans="3:16" x14ac:dyDescent="0.2">
      <c r="C119" s="109">
        <v>40088</v>
      </c>
      <c r="D119" s="121">
        <v>163</v>
      </c>
      <c r="E119" s="115">
        <v>145</v>
      </c>
      <c r="F119" s="118">
        <v>150</v>
      </c>
      <c r="G119" s="167"/>
      <c r="H119" s="167"/>
      <c r="I119" s="167"/>
      <c r="J119" s="167"/>
      <c r="K119" s="167"/>
      <c r="L119" s="167"/>
      <c r="M119" s="167"/>
      <c r="N119" s="170">
        <v>40254</v>
      </c>
      <c r="O119" s="111">
        <v>3.25</v>
      </c>
      <c r="P119" s="173">
        <v>3.15</v>
      </c>
    </row>
    <row r="120" spans="3:16" x14ac:dyDescent="0.2">
      <c r="C120" s="109">
        <v>40095</v>
      </c>
      <c r="D120" s="121">
        <v>165</v>
      </c>
      <c r="E120" s="115">
        <v>145</v>
      </c>
      <c r="F120" s="118">
        <v>151</v>
      </c>
      <c r="G120" s="167"/>
      <c r="H120" s="167"/>
      <c r="I120" s="167"/>
      <c r="J120" s="167"/>
      <c r="K120" s="167"/>
      <c r="L120" s="167"/>
      <c r="M120" s="167"/>
      <c r="N120" s="170">
        <v>40259</v>
      </c>
      <c r="O120" s="111">
        <v>3.15</v>
      </c>
      <c r="P120" s="173">
        <v>3.05</v>
      </c>
    </row>
    <row r="121" spans="3:16" x14ac:dyDescent="0.2">
      <c r="C121" s="109">
        <v>40102</v>
      </c>
      <c r="D121" s="121">
        <v>149</v>
      </c>
      <c r="E121" s="115">
        <v>134</v>
      </c>
      <c r="F121" s="118">
        <v>153</v>
      </c>
      <c r="G121" s="167">
        <f>I121*$J$100</f>
        <v>148.20000000000002</v>
      </c>
      <c r="H121" s="167">
        <f>J121*$J$100</f>
        <v>143</v>
      </c>
      <c r="I121" s="167">
        <f>K121*100</f>
        <v>285</v>
      </c>
      <c r="J121" s="167">
        <f>L121*100</f>
        <v>275</v>
      </c>
      <c r="K121" s="167">
        <f>O106</f>
        <v>2.85</v>
      </c>
      <c r="L121" s="167">
        <f>P106</f>
        <v>2.75</v>
      </c>
      <c r="M121" s="167">
        <f>IF(OR(E121&lt;=0,G121&lt;=0),"",(G121-E121)/100)</f>
        <v>0.14200000000000018</v>
      </c>
      <c r="N121" s="170">
        <v>40263</v>
      </c>
      <c r="O121" s="111">
        <v>3.1</v>
      </c>
      <c r="P121" s="173">
        <v>3</v>
      </c>
    </row>
    <row r="122" spans="3:16" x14ac:dyDescent="0.2">
      <c r="C122" s="109">
        <v>40109</v>
      </c>
      <c r="D122" s="121">
        <v>160</v>
      </c>
      <c r="E122" s="115">
        <v>144</v>
      </c>
      <c r="F122" s="118">
        <v>157</v>
      </c>
      <c r="G122" s="167"/>
      <c r="H122" s="167"/>
      <c r="I122" s="167"/>
      <c r="J122" s="167"/>
      <c r="K122" s="167"/>
      <c r="L122" s="167"/>
      <c r="M122" s="167" t="str">
        <f t="shared" ref="M122:M185" si="0">IF(OR(E122&lt;=0,G122&lt;=0),"",(G122-E122)/100)</f>
        <v/>
      </c>
      <c r="N122" s="170">
        <v>40268</v>
      </c>
      <c r="O122" s="111"/>
      <c r="P122" s="173"/>
    </row>
    <row r="123" spans="3:16" x14ac:dyDescent="0.2">
      <c r="C123" s="109">
        <v>40116</v>
      </c>
      <c r="D123" s="121">
        <v>164</v>
      </c>
      <c r="E123" s="115">
        <v>144</v>
      </c>
      <c r="F123" s="118">
        <v>147</v>
      </c>
      <c r="G123" s="167"/>
      <c r="H123" s="167"/>
      <c r="I123" s="167"/>
      <c r="J123" s="167"/>
      <c r="K123" s="167"/>
      <c r="L123" s="167"/>
      <c r="M123" s="167" t="str">
        <f t="shared" si="0"/>
        <v/>
      </c>
      <c r="N123" s="170">
        <v>40275</v>
      </c>
      <c r="O123" s="111"/>
      <c r="P123" s="173"/>
    </row>
    <row r="124" spans="3:16" x14ac:dyDescent="0.2">
      <c r="C124" s="109">
        <v>40123</v>
      </c>
      <c r="D124" s="121">
        <v>161</v>
      </c>
      <c r="E124" s="115">
        <v>148</v>
      </c>
      <c r="F124" s="118">
        <v>158</v>
      </c>
      <c r="G124" s="167"/>
      <c r="H124" s="167"/>
      <c r="I124" s="167"/>
      <c r="J124" s="167"/>
      <c r="K124" s="167"/>
      <c r="L124" s="167"/>
      <c r="M124" s="167" t="str">
        <f t="shared" si="0"/>
        <v/>
      </c>
      <c r="N124" s="170">
        <v>40282</v>
      </c>
      <c r="O124" s="111">
        <v>3.2</v>
      </c>
      <c r="P124" s="173">
        <v>3.1</v>
      </c>
    </row>
    <row r="125" spans="3:16" x14ac:dyDescent="0.2">
      <c r="C125" s="109">
        <v>40130</v>
      </c>
      <c r="D125" s="121">
        <v>160</v>
      </c>
      <c r="E125" s="115">
        <v>161</v>
      </c>
      <c r="F125" s="118"/>
      <c r="G125" s="167"/>
      <c r="H125" s="167"/>
      <c r="I125" s="167"/>
      <c r="J125" s="167"/>
      <c r="K125" s="167"/>
      <c r="L125" s="167"/>
      <c r="M125" s="167" t="str">
        <f t="shared" si="0"/>
        <v/>
      </c>
      <c r="N125" s="170">
        <v>40284</v>
      </c>
      <c r="O125" s="111">
        <v>3.2</v>
      </c>
      <c r="P125" s="173">
        <v>3.1</v>
      </c>
    </row>
    <row r="126" spans="3:16" x14ac:dyDescent="0.2">
      <c r="C126" s="109">
        <v>40137</v>
      </c>
      <c r="D126" s="121">
        <v>160</v>
      </c>
      <c r="E126" s="115">
        <v>156</v>
      </c>
      <c r="F126" s="118">
        <v>165</v>
      </c>
      <c r="G126" s="167"/>
      <c r="H126" s="167"/>
      <c r="I126" s="167"/>
      <c r="J126" s="167"/>
      <c r="K126" s="167"/>
      <c r="L126" s="167"/>
      <c r="M126" s="167" t="str">
        <f t="shared" si="0"/>
        <v/>
      </c>
      <c r="N126" s="170">
        <v>40287</v>
      </c>
      <c r="O126" s="111"/>
      <c r="P126" s="173"/>
    </row>
    <row r="127" spans="3:16" x14ac:dyDescent="0.2">
      <c r="C127" s="109">
        <v>40144</v>
      </c>
      <c r="D127" s="121">
        <v>150</v>
      </c>
      <c r="E127" s="115">
        <v>142</v>
      </c>
      <c r="F127" s="118">
        <v>150</v>
      </c>
      <c r="G127" s="167"/>
      <c r="H127" s="167"/>
      <c r="I127" s="167"/>
      <c r="J127" s="167"/>
      <c r="K127" s="167"/>
      <c r="L127" s="167"/>
      <c r="M127" s="167" t="str">
        <f t="shared" si="0"/>
        <v/>
      </c>
      <c r="N127" s="170">
        <v>40289</v>
      </c>
      <c r="O127" s="111">
        <v>3.15</v>
      </c>
      <c r="P127" s="173">
        <v>3.05</v>
      </c>
    </row>
    <row r="128" spans="3:16" x14ac:dyDescent="0.2">
      <c r="C128" s="109">
        <v>40151</v>
      </c>
      <c r="D128" s="121">
        <v>125</v>
      </c>
      <c r="E128" s="115">
        <v>139</v>
      </c>
      <c r="F128" s="118">
        <v>155</v>
      </c>
      <c r="G128" s="167"/>
      <c r="H128" s="167"/>
      <c r="I128" s="167"/>
      <c r="J128" s="167"/>
      <c r="K128" s="167"/>
      <c r="L128" s="167"/>
      <c r="M128" s="167" t="str">
        <f t="shared" si="0"/>
        <v/>
      </c>
      <c r="N128" s="170">
        <v>40295</v>
      </c>
      <c r="O128" s="111"/>
      <c r="P128" s="173"/>
    </row>
    <row r="129" spans="3:16" x14ac:dyDescent="0.2">
      <c r="C129" s="109">
        <v>40158</v>
      </c>
      <c r="D129" s="121">
        <v>142</v>
      </c>
      <c r="E129" s="115">
        <v>139</v>
      </c>
      <c r="F129" s="118">
        <v>131</v>
      </c>
      <c r="G129" s="167"/>
      <c r="H129" s="167"/>
      <c r="I129" s="167"/>
      <c r="J129" s="167"/>
      <c r="K129" s="167"/>
      <c r="L129" s="167"/>
      <c r="M129" s="167" t="str">
        <f t="shared" si="0"/>
        <v/>
      </c>
      <c r="N129" s="170">
        <v>40305</v>
      </c>
      <c r="O129" s="111">
        <v>3.1</v>
      </c>
      <c r="P129" s="173">
        <v>3</v>
      </c>
    </row>
    <row r="130" spans="3:16" x14ac:dyDescent="0.2">
      <c r="C130" s="109">
        <v>40193</v>
      </c>
      <c r="D130" s="121">
        <v>169</v>
      </c>
      <c r="E130" s="115">
        <v>147</v>
      </c>
      <c r="F130" s="118"/>
      <c r="G130" s="167">
        <f t="shared" ref="G130:H133" si="1">I130*$J$100</f>
        <v>150.80000000000001</v>
      </c>
      <c r="H130" s="167">
        <f t="shared" si="1"/>
        <v>145.6</v>
      </c>
      <c r="I130" s="167">
        <f t="shared" ref="I130:J133" si="2">K130*100</f>
        <v>290</v>
      </c>
      <c r="J130" s="167">
        <f t="shared" si="2"/>
        <v>280</v>
      </c>
      <c r="K130" s="167">
        <f t="shared" ref="K130:L133" si="3">O110</f>
        <v>2.9</v>
      </c>
      <c r="L130" s="167">
        <f t="shared" si="3"/>
        <v>2.8</v>
      </c>
      <c r="M130" s="167">
        <f t="shared" si="0"/>
        <v>3.8000000000000117E-2</v>
      </c>
      <c r="N130" s="170">
        <v>40308</v>
      </c>
      <c r="O130" s="111">
        <v>3.15</v>
      </c>
      <c r="P130" s="173">
        <v>3.05</v>
      </c>
    </row>
    <row r="131" spans="3:16" x14ac:dyDescent="0.2">
      <c r="C131" s="109">
        <v>40200</v>
      </c>
      <c r="D131" s="121">
        <v>165</v>
      </c>
      <c r="E131" s="115">
        <v>153</v>
      </c>
      <c r="F131" s="118"/>
      <c r="G131" s="167">
        <f t="shared" si="1"/>
        <v>157.04</v>
      </c>
      <c r="H131" s="167">
        <f t="shared" si="1"/>
        <v>151.84</v>
      </c>
      <c r="I131" s="167">
        <f t="shared" si="2"/>
        <v>302</v>
      </c>
      <c r="J131" s="167">
        <f t="shared" si="2"/>
        <v>292</v>
      </c>
      <c r="K131" s="167">
        <f t="shared" si="3"/>
        <v>3.02</v>
      </c>
      <c r="L131" s="167">
        <f t="shared" si="3"/>
        <v>2.92</v>
      </c>
      <c r="M131" s="167">
        <f t="shared" si="0"/>
        <v>4.0399999999999922E-2</v>
      </c>
      <c r="N131" s="170">
        <v>40315</v>
      </c>
      <c r="O131" s="111">
        <v>3.15</v>
      </c>
      <c r="P131" s="173">
        <v>3.05</v>
      </c>
    </row>
    <row r="132" spans="3:16" x14ac:dyDescent="0.2">
      <c r="C132" s="109">
        <v>40207</v>
      </c>
      <c r="D132" s="121">
        <v>157</v>
      </c>
      <c r="E132" s="115">
        <v>156</v>
      </c>
      <c r="F132" s="118"/>
      <c r="G132" s="167">
        <f t="shared" si="1"/>
        <v>157.04</v>
      </c>
      <c r="H132" s="167">
        <f t="shared" si="1"/>
        <v>151.84</v>
      </c>
      <c r="I132" s="167">
        <f t="shared" si="2"/>
        <v>302</v>
      </c>
      <c r="J132" s="167">
        <f t="shared" si="2"/>
        <v>292</v>
      </c>
      <c r="K132" s="167">
        <f t="shared" si="3"/>
        <v>3.02</v>
      </c>
      <c r="L132" s="167">
        <f t="shared" si="3"/>
        <v>2.92</v>
      </c>
      <c r="M132" s="167">
        <f t="shared" si="0"/>
        <v>1.039999999999992E-2</v>
      </c>
      <c r="N132" s="170">
        <v>40317</v>
      </c>
      <c r="O132" s="111">
        <v>3.15</v>
      </c>
      <c r="P132" s="173">
        <v>3.05</v>
      </c>
    </row>
    <row r="133" spans="3:16" x14ac:dyDescent="0.2">
      <c r="C133" s="109">
        <v>40214</v>
      </c>
      <c r="D133" s="121">
        <v>159</v>
      </c>
      <c r="E133" s="115">
        <v>155</v>
      </c>
      <c r="F133" s="118">
        <v>172</v>
      </c>
      <c r="G133" s="167">
        <f t="shared" si="1"/>
        <v>159.64000000000001</v>
      </c>
      <c r="H133" s="167">
        <f t="shared" si="1"/>
        <v>154.44</v>
      </c>
      <c r="I133" s="167">
        <f t="shared" si="2"/>
        <v>307</v>
      </c>
      <c r="J133" s="167">
        <f t="shared" si="2"/>
        <v>297</v>
      </c>
      <c r="K133" s="167">
        <f t="shared" si="3"/>
        <v>3.07</v>
      </c>
      <c r="L133" s="167">
        <f t="shared" si="3"/>
        <v>2.97</v>
      </c>
      <c r="M133" s="167">
        <f t="shared" si="0"/>
        <v>4.6400000000000149E-2</v>
      </c>
      <c r="N133" s="170">
        <v>40324</v>
      </c>
      <c r="O133" s="111">
        <v>3.25</v>
      </c>
      <c r="P133" s="173">
        <v>3.15</v>
      </c>
    </row>
    <row r="134" spans="3:16" x14ac:dyDescent="0.2">
      <c r="C134" s="109">
        <v>40235</v>
      </c>
      <c r="D134" s="121">
        <v>184</v>
      </c>
      <c r="E134" s="115">
        <v>174</v>
      </c>
      <c r="F134" s="118">
        <v>171</v>
      </c>
      <c r="G134" s="167"/>
      <c r="H134" s="167"/>
      <c r="I134" s="167"/>
      <c r="J134" s="167"/>
      <c r="K134" s="167"/>
      <c r="L134" s="167"/>
      <c r="M134" s="167" t="str">
        <f t="shared" si="0"/>
        <v/>
      </c>
      <c r="N134" s="170">
        <v>40331</v>
      </c>
      <c r="O134" s="111">
        <v>3.2</v>
      </c>
      <c r="P134" s="173">
        <v>3.1</v>
      </c>
    </row>
    <row r="135" spans="3:16" x14ac:dyDescent="0.2">
      <c r="C135" s="109">
        <v>40242</v>
      </c>
      <c r="D135" s="121">
        <v>194</v>
      </c>
      <c r="E135" s="115">
        <v>170</v>
      </c>
      <c r="F135" s="118">
        <v>175</v>
      </c>
      <c r="G135" s="167"/>
      <c r="H135" s="167"/>
      <c r="I135" s="167"/>
      <c r="J135" s="167"/>
      <c r="K135" s="167"/>
      <c r="L135" s="167"/>
      <c r="M135" s="167" t="str">
        <f t="shared" si="0"/>
        <v/>
      </c>
      <c r="N135" s="170">
        <v>40333</v>
      </c>
      <c r="O135" s="111"/>
      <c r="P135" s="173"/>
    </row>
    <row r="136" spans="3:16" x14ac:dyDescent="0.2">
      <c r="C136" s="109">
        <v>40249</v>
      </c>
      <c r="D136" s="121">
        <v>192</v>
      </c>
      <c r="E136" s="115">
        <v>172</v>
      </c>
      <c r="F136" s="118">
        <v>171</v>
      </c>
      <c r="G136" s="167"/>
      <c r="H136" s="167"/>
      <c r="I136" s="167"/>
      <c r="J136" s="167"/>
      <c r="K136" s="167"/>
      <c r="L136" s="167"/>
      <c r="M136" s="167" t="str">
        <f t="shared" si="0"/>
        <v/>
      </c>
      <c r="N136" s="170">
        <v>40340</v>
      </c>
      <c r="O136" s="111"/>
      <c r="P136" s="173"/>
    </row>
    <row r="137" spans="3:16" x14ac:dyDescent="0.2">
      <c r="C137" s="109">
        <v>40256</v>
      </c>
      <c r="D137" s="121">
        <v>183</v>
      </c>
      <c r="E137" s="115">
        <v>168</v>
      </c>
      <c r="F137" s="118">
        <v>165</v>
      </c>
      <c r="G137" s="167">
        <f t="shared" ref="G137:G149" si="4">I137*$J$100</f>
        <v>169</v>
      </c>
      <c r="H137" s="167">
        <f t="shared" ref="H137:H149" si="5">J137*$J$100</f>
        <v>163.80000000000001</v>
      </c>
      <c r="I137" s="167">
        <f t="shared" ref="I137:I149" si="6">K137*100</f>
        <v>325</v>
      </c>
      <c r="J137" s="167">
        <f t="shared" ref="J137:J149" si="7">L137*100</f>
        <v>315</v>
      </c>
      <c r="K137" s="167">
        <f t="shared" ref="K137:L139" si="8">O119</f>
        <v>3.25</v>
      </c>
      <c r="L137" s="167">
        <f t="shared" si="8"/>
        <v>3.15</v>
      </c>
      <c r="M137" s="167">
        <f t="shared" si="0"/>
        <v>0.01</v>
      </c>
      <c r="N137" s="170">
        <v>40347</v>
      </c>
      <c r="O137" s="111">
        <v>3.15</v>
      </c>
      <c r="P137" s="173">
        <v>3.05</v>
      </c>
    </row>
    <row r="138" spans="3:16" x14ac:dyDescent="0.2">
      <c r="C138" s="109">
        <v>40263</v>
      </c>
      <c r="D138" s="121">
        <v>185</v>
      </c>
      <c r="E138" s="115">
        <v>176</v>
      </c>
      <c r="F138" s="118">
        <v>154</v>
      </c>
      <c r="G138" s="167">
        <f t="shared" si="4"/>
        <v>163.80000000000001</v>
      </c>
      <c r="H138" s="167">
        <f t="shared" si="5"/>
        <v>158.6</v>
      </c>
      <c r="I138" s="167">
        <f t="shared" si="6"/>
        <v>315</v>
      </c>
      <c r="J138" s="167">
        <f t="shared" si="7"/>
        <v>305</v>
      </c>
      <c r="K138" s="167">
        <f t="shared" si="8"/>
        <v>3.15</v>
      </c>
      <c r="L138" s="167">
        <f t="shared" si="8"/>
        <v>3.05</v>
      </c>
      <c r="M138" s="167">
        <f t="shared" si="0"/>
        <v>-0.12199999999999989</v>
      </c>
      <c r="N138" s="170">
        <v>40361</v>
      </c>
      <c r="O138" s="111">
        <v>3.15</v>
      </c>
      <c r="P138" s="173">
        <v>3.05</v>
      </c>
    </row>
    <row r="139" spans="3:16" x14ac:dyDescent="0.2">
      <c r="C139" s="109">
        <v>40270</v>
      </c>
      <c r="D139" s="121">
        <v>189</v>
      </c>
      <c r="E139" s="115">
        <v>169</v>
      </c>
      <c r="F139" s="118">
        <v>154</v>
      </c>
      <c r="G139" s="167">
        <f t="shared" si="4"/>
        <v>161.20000000000002</v>
      </c>
      <c r="H139" s="167">
        <f t="shared" si="5"/>
        <v>156</v>
      </c>
      <c r="I139" s="167">
        <f t="shared" si="6"/>
        <v>310</v>
      </c>
      <c r="J139" s="167">
        <f t="shared" si="7"/>
        <v>300</v>
      </c>
      <c r="K139" s="167">
        <f t="shared" si="8"/>
        <v>3.1</v>
      </c>
      <c r="L139" s="167">
        <f t="shared" si="8"/>
        <v>3</v>
      </c>
      <c r="M139" s="167">
        <f t="shared" si="0"/>
        <v>-7.7999999999999833E-2</v>
      </c>
      <c r="N139" s="170">
        <v>40373</v>
      </c>
      <c r="O139" s="111"/>
      <c r="P139" s="173"/>
    </row>
    <row r="140" spans="3:16" x14ac:dyDescent="0.2">
      <c r="C140" s="109">
        <v>40277</v>
      </c>
      <c r="D140" s="121">
        <v>180</v>
      </c>
      <c r="E140" s="115">
        <v>166</v>
      </c>
      <c r="F140" s="118">
        <v>156</v>
      </c>
      <c r="G140" s="167">
        <f t="shared" si="4"/>
        <v>166.4</v>
      </c>
      <c r="H140" s="167">
        <f t="shared" si="5"/>
        <v>161.20000000000002</v>
      </c>
      <c r="I140" s="167">
        <f t="shared" si="6"/>
        <v>320</v>
      </c>
      <c r="J140" s="167">
        <f t="shared" si="7"/>
        <v>310</v>
      </c>
      <c r="K140" s="167">
        <f>O124</f>
        <v>3.2</v>
      </c>
      <c r="L140" s="167">
        <f>P124</f>
        <v>3.1</v>
      </c>
      <c r="M140" s="167">
        <f t="shared" si="0"/>
        <v>4.0000000000000565E-3</v>
      </c>
      <c r="N140" s="170">
        <v>40385</v>
      </c>
      <c r="O140" s="111"/>
      <c r="P140" s="173"/>
    </row>
    <row r="141" spans="3:16" x14ac:dyDescent="0.2">
      <c r="C141" s="109">
        <v>40291</v>
      </c>
      <c r="D141" s="121">
        <v>183</v>
      </c>
      <c r="E141" s="115">
        <v>168</v>
      </c>
      <c r="F141" s="118">
        <v>152</v>
      </c>
      <c r="G141" s="167">
        <f t="shared" si="4"/>
        <v>166.4</v>
      </c>
      <c r="H141" s="167">
        <f t="shared" si="5"/>
        <v>161.20000000000002</v>
      </c>
      <c r="I141" s="167">
        <f t="shared" si="6"/>
        <v>320</v>
      </c>
      <c r="J141" s="167">
        <f t="shared" si="7"/>
        <v>310</v>
      </c>
      <c r="K141" s="167">
        <f>O125</f>
        <v>3.2</v>
      </c>
      <c r="L141" s="167">
        <f>P125</f>
        <v>3.1</v>
      </c>
      <c r="M141" s="167">
        <f t="shared" si="0"/>
        <v>-1.5999999999999945E-2</v>
      </c>
      <c r="N141" s="170">
        <v>40389</v>
      </c>
      <c r="O141" s="111"/>
      <c r="P141" s="173"/>
    </row>
    <row r="142" spans="3:16" x14ac:dyDescent="0.2">
      <c r="C142" s="109">
        <v>40298</v>
      </c>
      <c r="D142" s="121">
        <v>176</v>
      </c>
      <c r="E142" s="115">
        <v>164</v>
      </c>
      <c r="F142" s="118">
        <v>158</v>
      </c>
      <c r="G142" s="167">
        <f t="shared" si="4"/>
        <v>163.80000000000001</v>
      </c>
      <c r="H142" s="167">
        <f t="shared" si="5"/>
        <v>158.6</v>
      </c>
      <c r="I142" s="167">
        <f t="shared" si="6"/>
        <v>315</v>
      </c>
      <c r="J142" s="167">
        <f t="shared" si="7"/>
        <v>305</v>
      </c>
      <c r="K142" s="167">
        <f>O127</f>
        <v>3.15</v>
      </c>
      <c r="L142" s="167">
        <f>P127</f>
        <v>3.05</v>
      </c>
      <c r="M142" s="167">
        <f t="shared" si="0"/>
        <v>-1.9999999999998864E-3</v>
      </c>
      <c r="N142" s="170">
        <v>40401</v>
      </c>
      <c r="O142" s="111">
        <v>3.2</v>
      </c>
      <c r="P142" s="173">
        <v>3.1</v>
      </c>
    </row>
    <row r="143" spans="3:16" x14ac:dyDescent="0.2">
      <c r="C143" s="109">
        <v>40305</v>
      </c>
      <c r="D143" s="121">
        <v>186</v>
      </c>
      <c r="E143" s="115">
        <v>166</v>
      </c>
      <c r="F143" s="118">
        <v>164</v>
      </c>
      <c r="G143" s="167">
        <f t="shared" si="4"/>
        <v>161.20000000000002</v>
      </c>
      <c r="H143" s="167">
        <f t="shared" si="5"/>
        <v>156</v>
      </c>
      <c r="I143" s="167">
        <f t="shared" si="6"/>
        <v>310</v>
      </c>
      <c r="J143" s="167">
        <f t="shared" si="7"/>
        <v>300</v>
      </c>
      <c r="K143" s="167">
        <f t="shared" ref="K143:L148" si="9">O129</f>
        <v>3.1</v>
      </c>
      <c r="L143" s="167">
        <f t="shared" si="9"/>
        <v>3</v>
      </c>
      <c r="M143" s="167">
        <f t="shared" si="0"/>
        <v>-4.7999999999999828E-2</v>
      </c>
      <c r="N143" s="170">
        <v>40414</v>
      </c>
      <c r="O143" s="111"/>
      <c r="P143" s="173"/>
    </row>
    <row r="144" spans="3:16" x14ac:dyDescent="0.2">
      <c r="C144" s="109">
        <v>40312</v>
      </c>
      <c r="D144" s="121">
        <v>179</v>
      </c>
      <c r="E144" s="115">
        <v>162</v>
      </c>
      <c r="F144" s="118">
        <v>160</v>
      </c>
      <c r="G144" s="167">
        <f t="shared" si="4"/>
        <v>163.80000000000001</v>
      </c>
      <c r="H144" s="167">
        <f t="shared" si="5"/>
        <v>158.6</v>
      </c>
      <c r="I144" s="167">
        <f t="shared" si="6"/>
        <v>315</v>
      </c>
      <c r="J144" s="167">
        <f t="shared" si="7"/>
        <v>305</v>
      </c>
      <c r="K144" s="167">
        <f t="shared" si="9"/>
        <v>3.15</v>
      </c>
      <c r="L144" s="167">
        <f t="shared" si="9"/>
        <v>3.05</v>
      </c>
      <c r="M144" s="167">
        <f t="shared" si="0"/>
        <v>1.8000000000000113E-2</v>
      </c>
      <c r="N144" s="170">
        <v>40422</v>
      </c>
      <c r="O144"/>
      <c r="P144" s="158"/>
    </row>
    <row r="145" spans="3:16" x14ac:dyDescent="0.2">
      <c r="C145" s="109">
        <v>40319</v>
      </c>
      <c r="D145" s="121">
        <v>184</v>
      </c>
      <c r="E145" s="115">
        <v>158</v>
      </c>
      <c r="F145" s="118">
        <v>161</v>
      </c>
      <c r="G145" s="167">
        <f t="shared" si="4"/>
        <v>163.80000000000001</v>
      </c>
      <c r="H145" s="167">
        <f t="shared" si="5"/>
        <v>158.6</v>
      </c>
      <c r="I145" s="167">
        <f t="shared" si="6"/>
        <v>315</v>
      </c>
      <c r="J145" s="167">
        <f t="shared" si="7"/>
        <v>305</v>
      </c>
      <c r="K145" s="167">
        <f t="shared" si="9"/>
        <v>3.15</v>
      </c>
      <c r="L145" s="167">
        <f t="shared" si="9"/>
        <v>3.05</v>
      </c>
      <c r="M145" s="167">
        <f t="shared" si="0"/>
        <v>5.8000000000000114E-2</v>
      </c>
      <c r="N145" s="170">
        <v>40427</v>
      </c>
      <c r="O145" s="111">
        <v>3.25</v>
      </c>
      <c r="P145" s="173">
        <v>3.15</v>
      </c>
    </row>
    <row r="146" spans="3:16" x14ac:dyDescent="0.2">
      <c r="C146" s="109">
        <v>40326</v>
      </c>
      <c r="D146" s="121">
        <v>180</v>
      </c>
      <c r="E146" s="115">
        <v>155</v>
      </c>
      <c r="F146" s="118">
        <v>155</v>
      </c>
      <c r="G146" s="167">
        <f t="shared" si="4"/>
        <v>163.80000000000001</v>
      </c>
      <c r="H146" s="167">
        <f t="shared" si="5"/>
        <v>158.6</v>
      </c>
      <c r="I146" s="167">
        <f t="shared" si="6"/>
        <v>315</v>
      </c>
      <c r="J146" s="167">
        <f t="shared" si="7"/>
        <v>305</v>
      </c>
      <c r="K146" s="167">
        <f t="shared" si="9"/>
        <v>3.15</v>
      </c>
      <c r="L146" s="167">
        <f t="shared" si="9"/>
        <v>3.05</v>
      </c>
      <c r="M146" s="167">
        <f t="shared" si="0"/>
        <v>8.800000000000012E-2</v>
      </c>
      <c r="N146" s="170">
        <v>40436</v>
      </c>
      <c r="O146" s="111">
        <v>3.25</v>
      </c>
      <c r="P146" s="173">
        <v>3.15</v>
      </c>
    </row>
    <row r="147" spans="3:16" x14ac:dyDescent="0.2">
      <c r="C147" s="109">
        <v>40333</v>
      </c>
      <c r="D147" s="121">
        <v>171</v>
      </c>
      <c r="E147" s="115">
        <v>159</v>
      </c>
      <c r="F147" s="118">
        <v>159</v>
      </c>
      <c r="G147" s="167">
        <f t="shared" si="4"/>
        <v>169</v>
      </c>
      <c r="H147" s="167">
        <f t="shared" si="5"/>
        <v>163.80000000000001</v>
      </c>
      <c r="I147" s="167">
        <f t="shared" si="6"/>
        <v>325</v>
      </c>
      <c r="J147" s="167">
        <f t="shared" si="7"/>
        <v>315</v>
      </c>
      <c r="K147" s="167">
        <f t="shared" si="9"/>
        <v>3.25</v>
      </c>
      <c r="L147" s="167">
        <f t="shared" si="9"/>
        <v>3.15</v>
      </c>
      <c r="M147" s="167">
        <f t="shared" si="0"/>
        <v>0.1</v>
      </c>
      <c r="N147" s="170">
        <v>40443</v>
      </c>
      <c r="O147" s="111">
        <v>3.25</v>
      </c>
      <c r="P147" s="173">
        <v>3.15</v>
      </c>
    </row>
    <row r="148" spans="3:16" x14ac:dyDescent="0.2">
      <c r="C148" s="109">
        <v>40340</v>
      </c>
      <c r="D148" s="121">
        <v>185</v>
      </c>
      <c r="E148" s="115">
        <v>160</v>
      </c>
      <c r="F148" s="118">
        <v>159</v>
      </c>
      <c r="G148" s="167">
        <f t="shared" si="4"/>
        <v>166.4</v>
      </c>
      <c r="H148" s="167">
        <f t="shared" si="5"/>
        <v>161.20000000000002</v>
      </c>
      <c r="I148" s="167">
        <f t="shared" si="6"/>
        <v>320</v>
      </c>
      <c r="J148" s="167">
        <f t="shared" si="7"/>
        <v>310</v>
      </c>
      <c r="K148" s="167">
        <f t="shared" si="9"/>
        <v>3.2</v>
      </c>
      <c r="L148" s="167">
        <f t="shared" si="9"/>
        <v>3.1</v>
      </c>
      <c r="M148" s="167">
        <f t="shared" si="0"/>
        <v>6.4000000000000057E-2</v>
      </c>
      <c r="N148" s="170">
        <v>40448</v>
      </c>
      <c r="O148" s="111"/>
      <c r="P148" s="173"/>
    </row>
    <row r="149" spans="3:16" x14ac:dyDescent="0.2">
      <c r="C149" s="109">
        <v>40347</v>
      </c>
      <c r="D149" s="121">
        <v>178</v>
      </c>
      <c r="E149" s="115">
        <v>162</v>
      </c>
      <c r="F149" s="118">
        <v>162</v>
      </c>
      <c r="G149" s="167">
        <f t="shared" si="4"/>
        <v>163.80000000000001</v>
      </c>
      <c r="H149" s="167">
        <f t="shared" si="5"/>
        <v>158.6</v>
      </c>
      <c r="I149" s="167">
        <f t="shared" si="6"/>
        <v>315</v>
      </c>
      <c r="J149" s="167">
        <f t="shared" si="7"/>
        <v>305</v>
      </c>
      <c r="K149" s="167">
        <f>O137</f>
        <v>3.15</v>
      </c>
      <c r="L149" s="167">
        <f>P137</f>
        <v>3.05</v>
      </c>
      <c r="M149" s="167">
        <f t="shared" si="0"/>
        <v>1.8000000000000113E-2</v>
      </c>
      <c r="N149" s="170">
        <v>40452</v>
      </c>
      <c r="O149" s="111"/>
      <c r="P149" s="173"/>
    </row>
    <row r="150" spans="3:16" x14ac:dyDescent="0.2">
      <c r="C150" s="109">
        <v>40354</v>
      </c>
      <c r="D150" s="121">
        <v>186</v>
      </c>
      <c r="E150" s="115">
        <v>162</v>
      </c>
      <c r="F150" s="118">
        <v>157</v>
      </c>
      <c r="G150" s="167"/>
      <c r="H150" s="167"/>
      <c r="I150" s="167"/>
      <c r="J150" s="167"/>
      <c r="K150" s="167"/>
      <c r="L150" s="167"/>
      <c r="M150" s="167" t="str">
        <f t="shared" si="0"/>
        <v/>
      </c>
      <c r="N150" s="170">
        <v>40459</v>
      </c>
      <c r="O150" s="111">
        <v>3.25</v>
      </c>
      <c r="P150" s="173">
        <v>3.15</v>
      </c>
    </row>
    <row r="151" spans="3:16" x14ac:dyDescent="0.2">
      <c r="C151" s="109">
        <v>40361</v>
      </c>
      <c r="D151" s="121">
        <v>174</v>
      </c>
      <c r="E151" s="115">
        <v>154</v>
      </c>
      <c r="F151" s="118">
        <v>165</v>
      </c>
      <c r="G151" s="167">
        <f>I151*$J$100</f>
        <v>163.80000000000001</v>
      </c>
      <c r="H151" s="167">
        <f>J151*$J$100</f>
        <v>158.6</v>
      </c>
      <c r="I151" s="167">
        <f>K151*100</f>
        <v>315</v>
      </c>
      <c r="J151" s="167">
        <f>L151*100</f>
        <v>305</v>
      </c>
      <c r="K151" s="167">
        <f>O138</f>
        <v>3.15</v>
      </c>
      <c r="L151" s="167">
        <f>P138</f>
        <v>3.05</v>
      </c>
      <c r="M151" s="167">
        <f t="shared" si="0"/>
        <v>9.8000000000000115E-2</v>
      </c>
      <c r="N151" s="170">
        <v>40470</v>
      </c>
      <c r="O151" s="111"/>
      <c r="P151" s="173"/>
    </row>
    <row r="152" spans="3:16" x14ac:dyDescent="0.2">
      <c r="C152" s="109">
        <v>40375</v>
      </c>
      <c r="D152" s="121">
        <v>186</v>
      </c>
      <c r="E152" s="115">
        <v>162</v>
      </c>
      <c r="F152" s="118">
        <v>166</v>
      </c>
      <c r="G152" s="167"/>
      <c r="H152" s="167"/>
      <c r="I152" s="167"/>
      <c r="J152" s="167"/>
      <c r="K152" s="167"/>
      <c r="L152" s="167"/>
      <c r="M152" s="167" t="str">
        <f t="shared" si="0"/>
        <v/>
      </c>
      <c r="N152" s="170">
        <v>40478</v>
      </c>
      <c r="O152" s="111">
        <v>3.2</v>
      </c>
      <c r="P152" s="173">
        <v>3.1</v>
      </c>
    </row>
    <row r="153" spans="3:16" x14ac:dyDescent="0.2">
      <c r="C153" s="109">
        <v>40382</v>
      </c>
      <c r="D153" s="121">
        <v>186</v>
      </c>
      <c r="E153" s="115">
        <v>169</v>
      </c>
      <c r="F153" s="118">
        <v>160</v>
      </c>
      <c r="G153" s="167"/>
      <c r="H153" s="167"/>
      <c r="I153" s="167"/>
      <c r="J153" s="167"/>
      <c r="K153" s="167"/>
      <c r="L153" s="167"/>
      <c r="M153" s="167" t="str">
        <f t="shared" si="0"/>
        <v/>
      </c>
      <c r="N153" s="170">
        <v>40490</v>
      </c>
      <c r="O153" s="111">
        <v>3.15</v>
      </c>
      <c r="P153" s="173">
        <v>3.05</v>
      </c>
    </row>
    <row r="154" spans="3:16" x14ac:dyDescent="0.2">
      <c r="C154" s="109">
        <v>40389</v>
      </c>
      <c r="D154" s="121">
        <v>182</v>
      </c>
      <c r="E154" s="115">
        <v>161</v>
      </c>
      <c r="F154" s="118">
        <v>164</v>
      </c>
      <c r="G154" s="167"/>
      <c r="H154" s="167"/>
      <c r="I154" s="167"/>
      <c r="J154" s="167"/>
      <c r="K154" s="167"/>
      <c r="L154" s="167"/>
      <c r="M154" s="167" t="str">
        <f t="shared" si="0"/>
        <v/>
      </c>
      <c r="N154" s="170">
        <v>40495</v>
      </c>
      <c r="O154" s="111"/>
      <c r="P154" s="173"/>
    </row>
    <row r="155" spans="3:16" x14ac:dyDescent="0.2">
      <c r="C155" s="109">
        <v>40396</v>
      </c>
      <c r="D155" s="121">
        <v>189</v>
      </c>
      <c r="E155" s="115">
        <v>170</v>
      </c>
      <c r="F155" s="118">
        <v>154</v>
      </c>
      <c r="G155" s="167"/>
      <c r="H155" s="167"/>
      <c r="I155" s="167"/>
      <c r="J155" s="167"/>
      <c r="K155" s="167"/>
      <c r="L155" s="167"/>
      <c r="M155" s="167" t="str">
        <f t="shared" si="0"/>
        <v/>
      </c>
      <c r="N155" s="170">
        <v>40513</v>
      </c>
      <c r="O155" s="111">
        <v>3.25</v>
      </c>
      <c r="P155" s="173">
        <v>3.15</v>
      </c>
    </row>
    <row r="156" spans="3:16" x14ac:dyDescent="0.2">
      <c r="C156" s="109">
        <v>40403</v>
      </c>
      <c r="D156" s="121">
        <v>206</v>
      </c>
      <c r="E156" s="115">
        <v>169</v>
      </c>
      <c r="F156" s="118">
        <v>172</v>
      </c>
      <c r="G156" s="167">
        <f>I156*$J$100</f>
        <v>166.4</v>
      </c>
      <c r="H156" s="167">
        <f>J156*$J$100</f>
        <v>161.20000000000002</v>
      </c>
      <c r="I156" s="167">
        <f>K156*100</f>
        <v>320</v>
      </c>
      <c r="J156" s="167">
        <f>L156*100</f>
        <v>310</v>
      </c>
      <c r="K156" s="167">
        <f>O142</f>
        <v>3.2</v>
      </c>
      <c r="L156" s="167">
        <f>P142</f>
        <v>3.1</v>
      </c>
      <c r="M156" s="167">
        <f t="shared" si="0"/>
        <v>-2.5999999999999943E-2</v>
      </c>
      <c r="N156" s="170">
        <v>40515</v>
      </c>
      <c r="O156" s="111">
        <v>3.25</v>
      </c>
      <c r="P156" s="173">
        <v>3.15</v>
      </c>
    </row>
    <row r="157" spans="3:16" x14ac:dyDescent="0.2">
      <c r="C157" s="109">
        <v>40410</v>
      </c>
      <c r="D157" s="121">
        <v>196</v>
      </c>
      <c r="E157" s="115">
        <v>165</v>
      </c>
      <c r="F157" s="118">
        <v>163</v>
      </c>
      <c r="G157" s="167"/>
      <c r="H157" s="167"/>
      <c r="I157" s="167"/>
      <c r="J157" s="167"/>
      <c r="K157" s="167"/>
      <c r="L157" s="167"/>
      <c r="M157" s="167" t="str">
        <f t="shared" si="0"/>
        <v/>
      </c>
      <c r="N157" s="170">
        <v>40520</v>
      </c>
      <c r="O157" s="111">
        <v>3.25</v>
      </c>
      <c r="P157" s="173">
        <v>3.15</v>
      </c>
    </row>
    <row r="158" spans="3:16" x14ac:dyDescent="0.2">
      <c r="C158" s="109">
        <v>40417</v>
      </c>
      <c r="D158" s="121">
        <v>190</v>
      </c>
      <c r="E158" s="115">
        <v>168</v>
      </c>
      <c r="F158" s="118">
        <v>163</v>
      </c>
      <c r="G158" s="167"/>
      <c r="H158" s="167"/>
      <c r="I158" s="167"/>
      <c r="J158" s="167"/>
      <c r="K158" s="167"/>
      <c r="L158" s="167"/>
      <c r="M158" s="167" t="str">
        <f t="shared" si="0"/>
        <v/>
      </c>
      <c r="N158" s="170">
        <v>40557</v>
      </c>
      <c r="O158" s="111">
        <v>3.35</v>
      </c>
      <c r="P158" s="173">
        <v>3.25</v>
      </c>
    </row>
    <row r="159" spans="3:16" x14ac:dyDescent="0.2">
      <c r="C159" s="109">
        <v>40424</v>
      </c>
      <c r="D159" s="121">
        <v>186</v>
      </c>
      <c r="E159" s="115">
        <v>165</v>
      </c>
      <c r="F159" s="118">
        <v>156</v>
      </c>
      <c r="G159" s="167">
        <f t="shared" ref="G159:H161" si="10">I159*$J$100</f>
        <v>169</v>
      </c>
      <c r="H159" s="167">
        <f t="shared" si="10"/>
        <v>163.80000000000001</v>
      </c>
      <c r="I159" s="167">
        <f t="shared" ref="I159:J161" si="11">K159*100</f>
        <v>325</v>
      </c>
      <c r="J159" s="167">
        <f t="shared" si="11"/>
        <v>315</v>
      </c>
      <c r="K159" s="167">
        <f t="shared" ref="K159:L161" si="12">O145</f>
        <v>3.25</v>
      </c>
      <c r="L159" s="167">
        <f t="shared" si="12"/>
        <v>3.15</v>
      </c>
      <c r="M159" s="167">
        <f t="shared" si="0"/>
        <v>0.04</v>
      </c>
      <c r="N159" s="170">
        <v>40564</v>
      </c>
      <c r="O159" s="111">
        <v>3.45</v>
      </c>
      <c r="P159" s="173">
        <v>3.35</v>
      </c>
    </row>
    <row r="160" spans="3:16" x14ac:dyDescent="0.2">
      <c r="C160" s="109">
        <v>40431</v>
      </c>
      <c r="D160" s="121">
        <v>177</v>
      </c>
      <c r="E160" s="115">
        <v>171</v>
      </c>
      <c r="F160" s="118">
        <v>173</v>
      </c>
      <c r="G160" s="167">
        <f t="shared" si="10"/>
        <v>169</v>
      </c>
      <c r="H160" s="167">
        <f t="shared" si="10"/>
        <v>163.80000000000001</v>
      </c>
      <c r="I160" s="167">
        <f t="shared" si="11"/>
        <v>325</v>
      </c>
      <c r="J160" s="167">
        <f t="shared" si="11"/>
        <v>315</v>
      </c>
      <c r="K160" s="167">
        <f t="shared" si="12"/>
        <v>3.25</v>
      </c>
      <c r="L160" s="167">
        <f t="shared" si="12"/>
        <v>3.15</v>
      </c>
      <c r="M160" s="167">
        <f t="shared" si="0"/>
        <v>-0.02</v>
      </c>
      <c r="N160" s="170">
        <v>40569</v>
      </c>
      <c r="O160" s="111">
        <v>3.45</v>
      </c>
      <c r="P160" s="173">
        <v>3.35</v>
      </c>
    </row>
    <row r="161" spans="3:16" x14ac:dyDescent="0.2">
      <c r="C161" s="109">
        <v>40438</v>
      </c>
      <c r="D161" s="121">
        <v>189</v>
      </c>
      <c r="E161" s="115">
        <v>185</v>
      </c>
      <c r="F161" s="118"/>
      <c r="G161" s="167">
        <f t="shared" si="10"/>
        <v>169</v>
      </c>
      <c r="H161" s="167">
        <f t="shared" si="10"/>
        <v>163.80000000000001</v>
      </c>
      <c r="I161" s="167">
        <f t="shared" si="11"/>
        <v>325</v>
      </c>
      <c r="J161" s="167">
        <f t="shared" si="11"/>
        <v>315</v>
      </c>
      <c r="K161" s="167">
        <f t="shared" si="12"/>
        <v>3.25</v>
      </c>
      <c r="L161" s="167">
        <f t="shared" si="12"/>
        <v>3.15</v>
      </c>
      <c r="M161" s="167">
        <f t="shared" si="0"/>
        <v>-0.16</v>
      </c>
      <c r="N161" s="170">
        <v>40581</v>
      </c>
      <c r="O161" s="111">
        <v>3.35</v>
      </c>
      <c r="P161" s="173">
        <v>3.25</v>
      </c>
    </row>
    <row r="162" spans="3:16" x14ac:dyDescent="0.2">
      <c r="C162" s="109">
        <v>40452</v>
      </c>
      <c r="D162" s="121">
        <v>185</v>
      </c>
      <c r="E162" s="115">
        <v>182</v>
      </c>
      <c r="F162" s="118">
        <v>170</v>
      </c>
      <c r="G162" s="167"/>
      <c r="H162" s="167"/>
      <c r="I162" s="167"/>
      <c r="J162" s="167"/>
      <c r="K162" s="167"/>
      <c r="L162" s="167"/>
      <c r="M162" s="167" t="str">
        <f t="shared" si="0"/>
        <v/>
      </c>
      <c r="N162" s="170">
        <v>40595</v>
      </c>
      <c r="O162" s="111">
        <v>3.35</v>
      </c>
      <c r="P162" s="173">
        <v>3.25</v>
      </c>
    </row>
    <row r="163" spans="3:16" x14ac:dyDescent="0.2">
      <c r="C163" s="109">
        <v>40459</v>
      </c>
      <c r="D163" s="121">
        <v>188</v>
      </c>
      <c r="E163" s="115">
        <v>166</v>
      </c>
      <c r="F163" s="118">
        <v>164</v>
      </c>
      <c r="G163" s="167">
        <f>I163*$J$100</f>
        <v>169</v>
      </c>
      <c r="H163" s="167">
        <f>J163*$J$100</f>
        <v>163.80000000000001</v>
      </c>
      <c r="I163" s="167">
        <f>K163*100</f>
        <v>325</v>
      </c>
      <c r="J163" s="167">
        <f>L163*100</f>
        <v>315</v>
      </c>
      <c r="K163" s="167">
        <f>O150</f>
        <v>3.25</v>
      </c>
      <c r="L163" s="167">
        <f>P150</f>
        <v>3.15</v>
      </c>
      <c r="M163" s="167">
        <f t="shared" si="0"/>
        <v>0.03</v>
      </c>
      <c r="N163" s="170">
        <v>40599</v>
      </c>
      <c r="O163" s="111">
        <v>3.4</v>
      </c>
      <c r="P163" s="173">
        <v>3.3</v>
      </c>
    </row>
    <row r="164" spans="3:16" x14ac:dyDescent="0.2">
      <c r="C164" s="109">
        <v>40466</v>
      </c>
      <c r="D164" s="121">
        <v>195</v>
      </c>
      <c r="E164" s="115">
        <v>170</v>
      </c>
      <c r="F164" s="118">
        <v>169</v>
      </c>
      <c r="G164" s="167"/>
      <c r="H164" s="167"/>
      <c r="I164" s="167"/>
      <c r="J164" s="167"/>
      <c r="K164" s="167"/>
      <c r="L164" s="167"/>
      <c r="M164" s="167" t="str">
        <f t="shared" si="0"/>
        <v/>
      </c>
      <c r="N164" s="170">
        <v>40609</v>
      </c>
      <c r="O164" s="111"/>
      <c r="P164" s="173"/>
    </row>
    <row r="165" spans="3:16" x14ac:dyDescent="0.2">
      <c r="C165" s="109">
        <v>40473</v>
      </c>
      <c r="D165" s="121">
        <v>195</v>
      </c>
      <c r="E165" s="115">
        <v>174</v>
      </c>
      <c r="F165" s="118">
        <v>169</v>
      </c>
      <c r="G165" s="167">
        <f>I165*$J$100</f>
        <v>166.4</v>
      </c>
      <c r="H165" s="167">
        <f>J165*$J$100</f>
        <v>161.20000000000002</v>
      </c>
      <c r="I165" s="167">
        <f>K165*100</f>
        <v>320</v>
      </c>
      <c r="J165" s="167">
        <f>L165*100</f>
        <v>310</v>
      </c>
      <c r="K165" s="167">
        <f>O152</f>
        <v>3.2</v>
      </c>
      <c r="L165" s="167">
        <f>P152</f>
        <v>3.1</v>
      </c>
      <c r="M165" s="167">
        <f t="shared" si="0"/>
        <v>-7.5999999999999943E-2</v>
      </c>
      <c r="N165" s="170">
        <v>40625</v>
      </c>
      <c r="O165" s="111">
        <v>3.5</v>
      </c>
      <c r="P165" s="173">
        <v>3.4</v>
      </c>
    </row>
    <row r="166" spans="3:16" x14ac:dyDescent="0.2">
      <c r="C166" s="109">
        <v>40480</v>
      </c>
      <c r="D166" s="121">
        <v>192</v>
      </c>
      <c r="E166" s="115">
        <v>168</v>
      </c>
      <c r="F166" s="118">
        <v>169</v>
      </c>
      <c r="G166" s="167"/>
      <c r="H166" s="167"/>
      <c r="I166" s="167"/>
      <c r="J166" s="167"/>
      <c r="K166" s="167"/>
      <c r="L166" s="167"/>
      <c r="M166" s="167" t="str">
        <f t="shared" si="0"/>
        <v/>
      </c>
      <c r="N166" s="170">
        <v>40630</v>
      </c>
      <c r="O166" s="111"/>
      <c r="P166" s="173"/>
    </row>
    <row r="167" spans="3:16" x14ac:dyDescent="0.2">
      <c r="C167" s="109">
        <v>40487</v>
      </c>
      <c r="D167" s="121">
        <v>194</v>
      </c>
      <c r="E167" s="115">
        <v>176</v>
      </c>
      <c r="F167" s="118">
        <v>170</v>
      </c>
      <c r="G167" s="167">
        <f>I167*$J$100</f>
        <v>163.80000000000001</v>
      </c>
      <c r="H167" s="167">
        <f>J167*$J$100</f>
        <v>158.6</v>
      </c>
      <c r="I167" s="167">
        <f>K167*100</f>
        <v>315</v>
      </c>
      <c r="J167" s="167">
        <f>L167*100</f>
        <v>305</v>
      </c>
      <c r="K167" s="167">
        <f>O153</f>
        <v>3.15</v>
      </c>
      <c r="L167" s="167">
        <f>P153</f>
        <v>3.05</v>
      </c>
      <c r="M167" s="167">
        <f t="shared" si="0"/>
        <v>-0.12199999999999989</v>
      </c>
      <c r="N167" s="170">
        <v>40633</v>
      </c>
      <c r="O167" s="111"/>
      <c r="P167" s="173"/>
    </row>
    <row r="168" spans="3:16" x14ac:dyDescent="0.2">
      <c r="C168" s="109">
        <v>40494</v>
      </c>
      <c r="D168" s="121">
        <v>200</v>
      </c>
      <c r="E168" s="115">
        <v>170</v>
      </c>
      <c r="F168" s="118">
        <v>168</v>
      </c>
      <c r="G168" s="167"/>
      <c r="H168" s="167"/>
      <c r="I168" s="167"/>
      <c r="J168" s="167"/>
      <c r="K168" s="167"/>
      <c r="L168" s="167"/>
      <c r="M168" s="167" t="str">
        <f t="shared" si="0"/>
        <v/>
      </c>
      <c r="N168" s="170">
        <v>40639</v>
      </c>
      <c r="O168" s="111">
        <v>3.5</v>
      </c>
      <c r="P168" s="173">
        <v>3.4</v>
      </c>
    </row>
    <row r="169" spans="3:16" x14ac:dyDescent="0.2">
      <c r="C169" s="109">
        <v>40501</v>
      </c>
      <c r="D169" s="121">
        <v>193</v>
      </c>
      <c r="E169" s="115">
        <v>178</v>
      </c>
      <c r="F169" s="118">
        <v>173</v>
      </c>
      <c r="G169" s="167"/>
      <c r="H169" s="167"/>
      <c r="I169" s="167"/>
      <c r="J169" s="167"/>
      <c r="K169" s="167"/>
      <c r="L169" s="167"/>
      <c r="M169" s="167" t="str">
        <f t="shared" si="0"/>
        <v/>
      </c>
      <c r="N169" s="170">
        <v>40641</v>
      </c>
      <c r="O169" s="111">
        <v>3.5</v>
      </c>
      <c r="P169" s="173">
        <v>3.4</v>
      </c>
    </row>
    <row r="170" spans="3:16" x14ac:dyDescent="0.2">
      <c r="C170" s="109">
        <v>40508</v>
      </c>
      <c r="D170" s="121">
        <v>208</v>
      </c>
      <c r="E170" s="115">
        <v>181</v>
      </c>
      <c r="F170" s="118">
        <v>172</v>
      </c>
      <c r="G170" s="167"/>
      <c r="H170" s="167"/>
      <c r="I170" s="167"/>
      <c r="J170" s="167"/>
      <c r="K170" s="167"/>
      <c r="L170" s="167"/>
      <c r="M170" s="167" t="str">
        <f t="shared" si="0"/>
        <v/>
      </c>
      <c r="N170" s="170">
        <v>40651</v>
      </c>
      <c r="O170" s="111">
        <v>3.45</v>
      </c>
      <c r="P170" s="173">
        <v>3.35</v>
      </c>
    </row>
    <row r="171" spans="3:16" x14ac:dyDescent="0.2">
      <c r="C171" s="109">
        <v>40515</v>
      </c>
      <c r="D171" s="121">
        <v>204</v>
      </c>
      <c r="E171" s="115">
        <v>175</v>
      </c>
      <c r="F171" s="118">
        <v>168</v>
      </c>
      <c r="G171" s="167">
        <f t="shared" ref="G171:H178" si="13">I171*$J$100</f>
        <v>169</v>
      </c>
      <c r="H171" s="167">
        <f t="shared" si="13"/>
        <v>163.80000000000001</v>
      </c>
      <c r="I171" s="167">
        <f t="shared" ref="I171:J178" si="14">K171*100</f>
        <v>325</v>
      </c>
      <c r="J171" s="167">
        <f t="shared" si="14"/>
        <v>315</v>
      </c>
      <c r="K171" s="167">
        <f t="shared" ref="K171:L178" si="15">O155</f>
        <v>3.25</v>
      </c>
      <c r="L171" s="167">
        <f t="shared" si="15"/>
        <v>3.15</v>
      </c>
      <c r="M171" s="167">
        <f t="shared" si="0"/>
        <v>-0.06</v>
      </c>
      <c r="N171" s="170">
        <v>40659</v>
      </c>
      <c r="O171" s="111">
        <v>3.4</v>
      </c>
      <c r="P171" s="173">
        <v>3.3</v>
      </c>
    </row>
    <row r="172" spans="3:16" x14ac:dyDescent="0.2">
      <c r="C172" s="109">
        <v>40522</v>
      </c>
      <c r="D172" s="121">
        <v>216</v>
      </c>
      <c r="E172" s="115">
        <v>186</v>
      </c>
      <c r="F172" s="118">
        <v>181</v>
      </c>
      <c r="G172" s="167">
        <f t="shared" si="13"/>
        <v>169</v>
      </c>
      <c r="H172" s="167">
        <f t="shared" si="13"/>
        <v>163.80000000000001</v>
      </c>
      <c r="I172" s="167">
        <f t="shared" si="14"/>
        <v>325</v>
      </c>
      <c r="J172" s="167">
        <f t="shared" si="14"/>
        <v>315</v>
      </c>
      <c r="K172" s="167">
        <f t="shared" si="15"/>
        <v>3.25</v>
      </c>
      <c r="L172" s="167">
        <f t="shared" si="15"/>
        <v>3.15</v>
      </c>
      <c r="M172" s="167">
        <f t="shared" si="0"/>
        <v>-0.17</v>
      </c>
      <c r="N172" s="170">
        <v>40660</v>
      </c>
      <c r="O172" s="111">
        <v>3.35</v>
      </c>
      <c r="P172" s="173">
        <v>3.25</v>
      </c>
    </row>
    <row r="173" spans="3:16" x14ac:dyDescent="0.2">
      <c r="C173" s="109">
        <v>40571</v>
      </c>
      <c r="D173" s="121">
        <v>210</v>
      </c>
      <c r="E173" s="115">
        <v>183</v>
      </c>
      <c r="F173" s="118">
        <v>176</v>
      </c>
      <c r="G173" s="167">
        <f t="shared" si="13"/>
        <v>169</v>
      </c>
      <c r="H173" s="167">
        <f t="shared" si="13"/>
        <v>163.80000000000001</v>
      </c>
      <c r="I173" s="167">
        <f t="shared" si="14"/>
        <v>325</v>
      </c>
      <c r="J173" s="167">
        <f t="shared" si="14"/>
        <v>315</v>
      </c>
      <c r="K173" s="167">
        <f t="shared" si="15"/>
        <v>3.25</v>
      </c>
      <c r="L173" s="167">
        <f t="shared" si="15"/>
        <v>3.15</v>
      </c>
      <c r="M173" s="167">
        <f t="shared" si="0"/>
        <v>-0.14000000000000001</v>
      </c>
      <c r="N173" s="170">
        <v>40662</v>
      </c>
      <c r="O173" s="111">
        <v>3.25</v>
      </c>
      <c r="P173" s="173">
        <v>3.15</v>
      </c>
    </row>
    <row r="174" spans="3:16" x14ac:dyDescent="0.2">
      <c r="C174" s="109">
        <v>40578</v>
      </c>
      <c r="D174" s="121">
        <v>203</v>
      </c>
      <c r="E174" s="115">
        <v>185</v>
      </c>
      <c r="F174" s="118">
        <v>166</v>
      </c>
      <c r="G174" s="167">
        <f t="shared" si="13"/>
        <v>174.20000000000002</v>
      </c>
      <c r="H174" s="167">
        <f t="shared" si="13"/>
        <v>169</v>
      </c>
      <c r="I174" s="167">
        <f t="shared" si="14"/>
        <v>335</v>
      </c>
      <c r="J174" s="167">
        <f t="shared" si="14"/>
        <v>325</v>
      </c>
      <c r="K174" s="167">
        <f t="shared" si="15"/>
        <v>3.35</v>
      </c>
      <c r="L174" s="167">
        <f t="shared" si="15"/>
        <v>3.25</v>
      </c>
      <c r="M174" s="167">
        <f t="shared" si="0"/>
        <v>-0.10799999999999983</v>
      </c>
      <c r="N174" s="170">
        <v>40666</v>
      </c>
      <c r="O174" s="111">
        <v>3.15</v>
      </c>
      <c r="P174" s="173">
        <v>3.05</v>
      </c>
    </row>
    <row r="175" spans="3:16" x14ac:dyDescent="0.2">
      <c r="C175" s="109">
        <v>40585</v>
      </c>
      <c r="D175" s="121">
        <v>206</v>
      </c>
      <c r="E175" s="115">
        <v>183</v>
      </c>
      <c r="F175" s="118">
        <v>169</v>
      </c>
      <c r="G175" s="167">
        <f t="shared" si="13"/>
        <v>179.4</v>
      </c>
      <c r="H175" s="167">
        <f t="shared" si="13"/>
        <v>174.20000000000002</v>
      </c>
      <c r="I175" s="167">
        <f t="shared" si="14"/>
        <v>345</v>
      </c>
      <c r="J175" s="167">
        <f t="shared" si="14"/>
        <v>335</v>
      </c>
      <c r="K175" s="167">
        <f t="shared" si="15"/>
        <v>3.45</v>
      </c>
      <c r="L175" s="167">
        <f t="shared" si="15"/>
        <v>3.35</v>
      </c>
      <c r="M175" s="167">
        <f t="shared" si="0"/>
        <v>-3.5999999999999942E-2</v>
      </c>
      <c r="N175" s="170">
        <v>40668</v>
      </c>
      <c r="O175" s="111">
        <v>3.1</v>
      </c>
      <c r="P175" s="173">
        <v>3</v>
      </c>
    </row>
    <row r="176" spans="3:16" x14ac:dyDescent="0.2">
      <c r="C176" s="109">
        <v>40592</v>
      </c>
      <c r="D176" s="121">
        <v>199</v>
      </c>
      <c r="E176" s="115">
        <v>184</v>
      </c>
      <c r="F176" s="118">
        <v>172</v>
      </c>
      <c r="G176" s="167">
        <f t="shared" si="13"/>
        <v>179.4</v>
      </c>
      <c r="H176" s="167">
        <f t="shared" si="13"/>
        <v>174.20000000000002</v>
      </c>
      <c r="I176" s="167">
        <f t="shared" si="14"/>
        <v>345</v>
      </c>
      <c r="J176" s="167">
        <f t="shared" si="14"/>
        <v>335</v>
      </c>
      <c r="K176" s="167">
        <f t="shared" si="15"/>
        <v>3.45</v>
      </c>
      <c r="L176" s="167">
        <f t="shared" si="15"/>
        <v>3.35</v>
      </c>
      <c r="M176" s="167">
        <f t="shared" si="0"/>
        <v>-4.5999999999999944E-2</v>
      </c>
      <c r="N176" s="170">
        <v>40669</v>
      </c>
      <c r="O176" s="111">
        <v>3.1</v>
      </c>
      <c r="P176" s="173">
        <v>3</v>
      </c>
    </row>
    <row r="177" spans="3:16" x14ac:dyDescent="0.2">
      <c r="C177" s="109">
        <v>40599</v>
      </c>
      <c r="D177" s="121">
        <v>208</v>
      </c>
      <c r="E177" s="115">
        <v>183</v>
      </c>
      <c r="F177" s="118">
        <v>170</v>
      </c>
      <c r="G177" s="167">
        <f t="shared" si="13"/>
        <v>174.20000000000002</v>
      </c>
      <c r="H177" s="167">
        <f t="shared" si="13"/>
        <v>169</v>
      </c>
      <c r="I177" s="167">
        <f t="shared" si="14"/>
        <v>335</v>
      </c>
      <c r="J177" s="167">
        <f t="shared" si="14"/>
        <v>325</v>
      </c>
      <c r="K177" s="167">
        <f t="shared" si="15"/>
        <v>3.35</v>
      </c>
      <c r="L177" s="167">
        <f t="shared" si="15"/>
        <v>3.25</v>
      </c>
      <c r="M177" s="167">
        <f t="shared" si="0"/>
        <v>-8.7999999999999828E-2</v>
      </c>
      <c r="N177" s="170">
        <v>40679</v>
      </c>
      <c r="O177" s="111">
        <v>3.1</v>
      </c>
      <c r="P177" s="173">
        <v>3</v>
      </c>
    </row>
    <row r="178" spans="3:16" x14ac:dyDescent="0.2">
      <c r="C178" s="109">
        <v>40606</v>
      </c>
      <c r="D178" s="121">
        <v>201</v>
      </c>
      <c r="E178" s="115">
        <v>185</v>
      </c>
      <c r="F178" s="118">
        <v>174</v>
      </c>
      <c r="G178" s="167">
        <f t="shared" si="13"/>
        <v>174.20000000000002</v>
      </c>
      <c r="H178" s="167">
        <f t="shared" si="13"/>
        <v>169</v>
      </c>
      <c r="I178" s="167">
        <f t="shared" si="14"/>
        <v>335</v>
      </c>
      <c r="J178" s="167">
        <f t="shared" si="14"/>
        <v>325</v>
      </c>
      <c r="K178" s="167">
        <f t="shared" si="15"/>
        <v>3.35</v>
      </c>
      <c r="L178" s="167">
        <f t="shared" si="15"/>
        <v>3.25</v>
      </c>
      <c r="M178" s="167">
        <f t="shared" si="0"/>
        <v>-0.10799999999999983</v>
      </c>
      <c r="N178" s="170">
        <v>40686</v>
      </c>
      <c r="O178" s="111">
        <v>3.12</v>
      </c>
      <c r="P178" s="173">
        <v>3.02</v>
      </c>
    </row>
    <row r="179" spans="3:16" x14ac:dyDescent="0.2">
      <c r="C179" s="109">
        <v>40613</v>
      </c>
      <c r="D179" s="121">
        <v>205</v>
      </c>
      <c r="E179" s="115">
        <v>194</v>
      </c>
      <c r="F179" s="118">
        <v>189</v>
      </c>
      <c r="G179" s="167"/>
      <c r="H179" s="167"/>
      <c r="I179" s="167"/>
      <c r="J179" s="167"/>
      <c r="K179" s="167"/>
      <c r="L179" s="167"/>
      <c r="M179" s="167" t="str">
        <f t="shared" si="0"/>
        <v/>
      </c>
      <c r="N179" s="170">
        <v>40694</v>
      </c>
      <c r="O179" s="111">
        <v>3.17</v>
      </c>
      <c r="P179" s="173">
        <v>3.07</v>
      </c>
    </row>
    <row r="180" spans="3:16" x14ac:dyDescent="0.2">
      <c r="C180" s="109">
        <v>40620</v>
      </c>
      <c r="D180" s="121">
        <v>205</v>
      </c>
      <c r="E180" s="115">
        <v>185</v>
      </c>
      <c r="F180" s="118">
        <v>190</v>
      </c>
      <c r="G180" s="167"/>
      <c r="H180" s="167"/>
      <c r="I180" s="167"/>
      <c r="J180" s="167"/>
      <c r="K180" s="167"/>
      <c r="L180" s="167"/>
      <c r="M180" s="167" t="str">
        <f t="shared" si="0"/>
        <v/>
      </c>
      <c r="N180" s="170">
        <v>40695</v>
      </c>
      <c r="O180" s="111">
        <v>3.25</v>
      </c>
      <c r="P180" s="173">
        <v>3.15</v>
      </c>
    </row>
    <row r="181" spans="3:16" x14ac:dyDescent="0.2">
      <c r="C181" s="109">
        <v>40627</v>
      </c>
      <c r="D181" s="121">
        <v>205</v>
      </c>
      <c r="E181" s="115">
        <v>198</v>
      </c>
      <c r="F181" s="118">
        <v>190</v>
      </c>
      <c r="G181" s="167">
        <f t="shared" ref="G181:G205" si="16">I181*$J$100</f>
        <v>182</v>
      </c>
      <c r="H181" s="167">
        <f t="shared" ref="H181:H205" si="17">J181*$J$100</f>
        <v>176.8</v>
      </c>
      <c r="I181" s="167">
        <f t="shared" ref="I181:I205" si="18">K181*100</f>
        <v>350</v>
      </c>
      <c r="J181" s="167">
        <f t="shared" ref="J181:J205" si="19">L181*100</f>
        <v>340</v>
      </c>
      <c r="K181" s="167">
        <f>O165</f>
        <v>3.5</v>
      </c>
      <c r="L181" s="167">
        <f>P165</f>
        <v>3.4</v>
      </c>
      <c r="M181" s="167">
        <f t="shared" si="0"/>
        <v>-0.16</v>
      </c>
      <c r="N181" s="170">
        <v>40700</v>
      </c>
      <c r="O181" s="111">
        <v>3.25</v>
      </c>
      <c r="P181" s="173">
        <v>3.15</v>
      </c>
    </row>
    <row r="182" spans="3:16" x14ac:dyDescent="0.2">
      <c r="C182" s="109">
        <v>40641</v>
      </c>
      <c r="D182" s="121">
        <v>227.4</v>
      </c>
      <c r="E182" s="115">
        <v>200.4</v>
      </c>
      <c r="F182" s="118">
        <v>185.7</v>
      </c>
      <c r="G182" s="167">
        <f t="shared" si="16"/>
        <v>182</v>
      </c>
      <c r="H182" s="167">
        <f t="shared" si="17"/>
        <v>176.8</v>
      </c>
      <c r="I182" s="167">
        <f t="shared" si="18"/>
        <v>350</v>
      </c>
      <c r="J182" s="167">
        <f t="shared" si="19"/>
        <v>340</v>
      </c>
      <c r="K182" s="167">
        <f>O168</f>
        <v>3.5</v>
      </c>
      <c r="L182" s="167">
        <f>P168</f>
        <v>3.4</v>
      </c>
      <c r="M182" s="167">
        <f t="shared" si="0"/>
        <v>-0.18400000000000005</v>
      </c>
      <c r="N182" s="170">
        <v>40702</v>
      </c>
      <c r="O182" s="111">
        <v>3.15</v>
      </c>
      <c r="P182" s="173">
        <v>3.05</v>
      </c>
    </row>
    <row r="183" spans="3:16" x14ac:dyDescent="0.2">
      <c r="C183" s="109">
        <v>40662</v>
      </c>
      <c r="D183" s="121">
        <v>219</v>
      </c>
      <c r="E183" s="115">
        <v>197</v>
      </c>
      <c r="F183" s="118">
        <v>169</v>
      </c>
      <c r="G183" s="167">
        <f t="shared" si="16"/>
        <v>169</v>
      </c>
      <c r="H183" s="167">
        <f t="shared" si="17"/>
        <v>163.80000000000001</v>
      </c>
      <c r="I183" s="167">
        <f t="shared" si="18"/>
        <v>325</v>
      </c>
      <c r="J183" s="167">
        <f t="shared" si="19"/>
        <v>315</v>
      </c>
      <c r="K183" s="167">
        <f>O173</f>
        <v>3.25</v>
      </c>
      <c r="L183" s="167">
        <f>P173</f>
        <v>3.15</v>
      </c>
      <c r="M183" s="167">
        <f t="shared" si="0"/>
        <v>-0.28000000000000003</v>
      </c>
      <c r="N183" s="170">
        <v>40714</v>
      </c>
      <c r="O183" s="111">
        <v>3</v>
      </c>
      <c r="P183" s="173">
        <v>2.9</v>
      </c>
    </row>
    <row r="184" spans="3:16" x14ac:dyDescent="0.2">
      <c r="C184" s="109">
        <v>40669</v>
      </c>
      <c r="D184" s="121">
        <v>206</v>
      </c>
      <c r="E184" s="115">
        <v>175</v>
      </c>
      <c r="F184" s="118">
        <v>156</v>
      </c>
      <c r="G184" s="167">
        <f t="shared" si="16"/>
        <v>163.80000000000001</v>
      </c>
      <c r="H184" s="167">
        <f t="shared" si="17"/>
        <v>158.6</v>
      </c>
      <c r="I184" s="167">
        <f t="shared" si="18"/>
        <v>315</v>
      </c>
      <c r="J184" s="167">
        <f t="shared" si="19"/>
        <v>305</v>
      </c>
      <c r="K184" s="167">
        <f>O174</f>
        <v>3.15</v>
      </c>
      <c r="L184" s="167">
        <f>P174</f>
        <v>3.05</v>
      </c>
      <c r="M184" s="167">
        <f t="shared" si="0"/>
        <v>-0.11199999999999989</v>
      </c>
      <c r="N184" s="170">
        <v>40716</v>
      </c>
      <c r="O184" s="111">
        <v>3</v>
      </c>
      <c r="P184" s="173">
        <v>2.9</v>
      </c>
    </row>
    <row r="185" spans="3:16" x14ac:dyDescent="0.2">
      <c r="C185" s="109">
        <v>40676</v>
      </c>
      <c r="D185" s="121">
        <v>217</v>
      </c>
      <c r="E185" s="115">
        <v>176</v>
      </c>
      <c r="F185" s="118">
        <v>171</v>
      </c>
      <c r="G185" s="167">
        <f t="shared" si="16"/>
        <v>161.20000000000002</v>
      </c>
      <c r="H185" s="167">
        <f t="shared" si="17"/>
        <v>156</v>
      </c>
      <c r="I185" s="167">
        <f t="shared" si="18"/>
        <v>310</v>
      </c>
      <c r="J185" s="167">
        <f t="shared" si="19"/>
        <v>300</v>
      </c>
      <c r="K185" s="167">
        <f>O177</f>
        <v>3.1</v>
      </c>
      <c r="L185" s="167">
        <f>P177</f>
        <v>3</v>
      </c>
      <c r="M185" s="167">
        <f t="shared" si="0"/>
        <v>-0.14799999999999983</v>
      </c>
      <c r="N185" s="170">
        <v>40721</v>
      </c>
      <c r="O185" s="111">
        <v>3</v>
      </c>
      <c r="P185" s="173">
        <v>2.9</v>
      </c>
    </row>
    <row r="186" spans="3:16" x14ac:dyDescent="0.2">
      <c r="C186" s="109">
        <v>40683</v>
      </c>
      <c r="D186" s="121">
        <v>213.6</v>
      </c>
      <c r="E186" s="115">
        <v>172.1</v>
      </c>
      <c r="F186" s="118">
        <v>156.19999999999999</v>
      </c>
      <c r="G186" s="167">
        <f t="shared" si="16"/>
        <v>162.24</v>
      </c>
      <c r="H186" s="167">
        <f t="shared" si="17"/>
        <v>157.04</v>
      </c>
      <c r="I186" s="167">
        <f t="shared" si="18"/>
        <v>312</v>
      </c>
      <c r="J186" s="167">
        <f t="shared" si="19"/>
        <v>302</v>
      </c>
      <c r="K186" s="167">
        <f>O178</f>
        <v>3.12</v>
      </c>
      <c r="L186" s="167">
        <f>P178</f>
        <v>3.02</v>
      </c>
      <c r="M186" s="167">
        <f t="shared" ref="M186:M236" si="20">IF(OR(E186&lt;=0,G186&lt;=0),"",(G186-E186)/100)</f>
        <v>-9.8599999999999854E-2</v>
      </c>
      <c r="N186" s="170">
        <v>40737</v>
      </c>
      <c r="O186" s="111">
        <v>3</v>
      </c>
      <c r="P186" s="173">
        <v>2.9</v>
      </c>
    </row>
    <row r="187" spans="3:16" x14ac:dyDescent="0.2">
      <c r="C187" s="109">
        <v>40697</v>
      </c>
      <c r="D187" s="121">
        <v>224.1</v>
      </c>
      <c r="E187" s="115">
        <v>184.8</v>
      </c>
      <c r="F187" s="118">
        <v>168</v>
      </c>
      <c r="G187" s="167">
        <f t="shared" si="16"/>
        <v>169</v>
      </c>
      <c r="H187" s="167">
        <f t="shared" si="17"/>
        <v>163.80000000000001</v>
      </c>
      <c r="I187" s="167">
        <f t="shared" si="18"/>
        <v>325</v>
      </c>
      <c r="J187" s="167">
        <f t="shared" si="19"/>
        <v>315</v>
      </c>
      <c r="K187" s="167">
        <f>O180</f>
        <v>3.25</v>
      </c>
      <c r="L187" s="167">
        <f>P180</f>
        <v>3.15</v>
      </c>
      <c r="M187" s="167">
        <f t="shared" si="20"/>
        <v>-0.15800000000000011</v>
      </c>
      <c r="N187" s="170">
        <v>40739</v>
      </c>
      <c r="O187" s="111">
        <v>3</v>
      </c>
      <c r="P187" s="173">
        <v>2.9</v>
      </c>
    </row>
    <row r="188" spans="3:16" x14ac:dyDescent="0.2">
      <c r="C188" s="109">
        <v>40704</v>
      </c>
      <c r="D188" s="121">
        <v>204.1</v>
      </c>
      <c r="E188" s="115">
        <v>166</v>
      </c>
      <c r="F188" s="118">
        <v>157</v>
      </c>
      <c r="G188" s="167">
        <f t="shared" si="16"/>
        <v>163.80000000000001</v>
      </c>
      <c r="H188" s="167">
        <f t="shared" si="17"/>
        <v>158.6</v>
      </c>
      <c r="I188" s="167">
        <f t="shared" si="18"/>
        <v>315</v>
      </c>
      <c r="J188" s="167">
        <f t="shared" si="19"/>
        <v>305</v>
      </c>
      <c r="K188" s="167">
        <f t="shared" ref="K188:L190" si="21">O182</f>
        <v>3.15</v>
      </c>
      <c r="L188" s="167">
        <f t="shared" si="21"/>
        <v>3.05</v>
      </c>
      <c r="M188" s="167">
        <f t="shared" si="20"/>
        <v>-2.1999999999999888E-2</v>
      </c>
      <c r="N188" s="170">
        <v>40744</v>
      </c>
      <c r="O188" s="111">
        <v>3</v>
      </c>
      <c r="P188" s="173">
        <v>2.9</v>
      </c>
    </row>
    <row r="189" spans="3:16" x14ac:dyDescent="0.2">
      <c r="C189" s="109">
        <v>40711</v>
      </c>
      <c r="D189" s="121">
        <v>214</v>
      </c>
      <c r="E189" s="115">
        <v>169</v>
      </c>
      <c r="F189" s="118">
        <v>153</v>
      </c>
      <c r="G189" s="167">
        <f t="shared" si="16"/>
        <v>156</v>
      </c>
      <c r="H189" s="167">
        <f t="shared" si="17"/>
        <v>150.80000000000001</v>
      </c>
      <c r="I189" s="167">
        <f t="shared" si="18"/>
        <v>300</v>
      </c>
      <c r="J189" s="167">
        <f t="shared" si="19"/>
        <v>290</v>
      </c>
      <c r="K189" s="167">
        <f t="shared" si="21"/>
        <v>3</v>
      </c>
      <c r="L189" s="167">
        <f t="shared" si="21"/>
        <v>2.9</v>
      </c>
      <c r="M189" s="167">
        <f t="shared" si="20"/>
        <v>-0.13</v>
      </c>
      <c r="N189" s="170">
        <v>40751</v>
      </c>
      <c r="O189" s="111">
        <v>3</v>
      </c>
      <c r="P189" s="173">
        <v>2.9</v>
      </c>
    </row>
    <row r="190" spans="3:16" x14ac:dyDescent="0.2">
      <c r="C190" s="109">
        <v>40718</v>
      </c>
      <c r="D190" s="121">
        <v>206</v>
      </c>
      <c r="E190" s="115">
        <v>166</v>
      </c>
      <c r="F190" s="118">
        <v>157</v>
      </c>
      <c r="G190" s="167">
        <f t="shared" si="16"/>
        <v>156</v>
      </c>
      <c r="H190" s="167">
        <f t="shared" si="17"/>
        <v>150.80000000000001</v>
      </c>
      <c r="I190" s="167">
        <f t="shared" si="18"/>
        <v>300</v>
      </c>
      <c r="J190" s="167">
        <f t="shared" si="19"/>
        <v>290</v>
      </c>
      <c r="K190" s="167">
        <f t="shared" si="21"/>
        <v>3</v>
      </c>
      <c r="L190" s="167">
        <f t="shared" si="21"/>
        <v>2.9</v>
      </c>
      <c r="M190" s="167">
        <f t="shared" si="20"/>
        <v>-0.1</v>
      </c>
      <c r="N190" s="170">
        <v>40763</v>
      </c>
      <c r="O190" s="111">
        <v>3.1</v>
      </c>
      <c r="P190" s="173">
        <v>3</v>
      </c>
    </row>
    <row r="191" spans="3:16" x14ac:dyDescent="0.2">
      <c r="C191" s="109">
        <v>40725</v>
      </c>
      <c r="D191" s="121">
        <v>207</v>
      </c>
      <c r="E191" s="115">
        <v>166</v>
      </c>
      <c r="F191" s="118">
        <v>151</v>
      </c>
      <c r="G191" s="167">
        <f t="shared" si="16"/>
        <v>156</v>
      </c>
      <c r="H191" s="167">
        <f t="shared" si="17"/>
        <v>150.80000000000001</v>
      </c>
      <c r="I191" s="167">
        <f t="shared" si="18"/>
        <v>300</v>
      </c>
      <c r="J191" s="167">
        <f t="shared" si="19"/>
        <v>290</v>
      </c>
      <c r="K191" s="167">
        <f t="shared" ref="K191:L195" si="22">O186</f>
        <v>3</v>
      </c>
      <c r="L191" s="167">
        <f t="shared" si="22"/>
        <v>2.9</v>
      </c>
      <c r="M191" s="167">
        <f t="shared" si="20"/>
        <v>-0.1</v>
      </c>
      <c r="N191" s="170">
        <v>40770</v>
      </c>
      <c r="O191" s="111">
        <v>3.15</v>
      </c>
      <c r="P191" s="173">
        <v>3.05</v>
      </c>
    </row>
    <row r="192" spans="3:16" x14ac:dyDescent="0.2">
      <c r="C192" s="109">
        <v>40732</v>
      </c>
      <c r="D192" s="121">
        <v>193</v>
      </c>
      <c r="E192" s="115">
        <v>168</v>
      </c>
      <c r="F192" s="118">
        <v>154</v>
      </c>
      <c r="G192" s="167">
        <f t="shared" si="16"/>
        <v>156</v>
      </c>
      <c r="H192" s="167">
        <f t="shared" si="17"/>
        <v>150.80000000000001</v>
      </c>
      <c r="I192" s="167">
        <f t="shared" si="18"/>
        <v>300</v>
      </c>
      <c r="J192" s="167">
        <f t="shared" si="19"/>
        <v>290</v>
      </c>
      <c r="K192" s="167">
        <f t="shared" si="22"/>
        <v>3</v>
      </c>
      <c r="L192" s="167">
        <f t="shared" si="22"/>
        <v>2.9</v>
      </c>
      <c r="M192" s="167">
        <f t="shared" si="20"/>
        <v>-0.12</v>
      </c>
      <c r="N192" s="170">
        <v>40772</v>
      </c>
      <c r="O192" s="111">
        <v>3.15</v>
      </c>
      <c r="P192" s="173">
        <v>3.05</v>
      </c>
    </row>
    <row r="193" spans="3:16" x14ac:dyDescent="0.2">
      <c r="C193" s="109">
        <v>40739</v>
      </c>
      <c r="D193" s="121">
        <v>191</v>
      </c>
      <c r="E193" s="115">
        <v>173</v>
      </c>
      <c r="F193" s="118">
        <v>162</v>
      </c>
      <c r="G193" s="167">
        <f t="shared" si="16"/>
        <v>156</v>
      </c>
      <c r="H193" s="167">
        <f t="shared" si="17"/>
        <v>150.80000000000001</v>
      </c>
      <c r="I193" s="167">
        <f t="shared" si="18"/>
        <v>300</v>
      </c>
      <c r="J193" s="167">
        <f t="shared" si="19"/>
        <v>290</v>
      </c>
      <c r="K193" s="167">
        <f t="shared" si="22"/>
        <v>3</v>
      </c>
      <c r="L193" s="167">
        <f t="shared" si="22"/>
        <v>2.9</v>
      </c>
      <c r="M193" s="167">
        <f t="shared" si="20"/>
        <v>-0.17</v>
      </c>
      <c r="N193" s="170">
        <v>40777</v>
      </c>
      <c r="O193" s="111">
        <v>3.2</v>
      </c>
      <c r="P193" s="173">
        <v>3.1</v>
      </c>
    </row>
    <row r="194" spans="3:16" x14ac:dyDescent="0.2">
      <c r="C194" s="109">
        <v>40746</v>
      </c>
      <c r="D194" s="121">
        <v>202</v>
      </c>
      <c r="E194" s="115">
        <v>164</v>
      </c>
      <c r="F194" s="118">
        <v>162</v>
      </c>
      <c r="G194" s="167">
        <f t="shared" si="16"/>
        <v>156</v>
      </c>
      <c r="H194" s="167">
        <f t="shared" si="17"/>
        <v>150.80000000000001</v>
      </c>
      <c r="I194" s="167">
        <f t="shared" si="18"/>
        <v>300</v>
      </c>
      <c r="J194" s="167">
        <f t="shared" si="19"/>
        <v>290</v>
      </c>
      <c r="K194" s="167">
        <f t="shared" si="22"/>
        <v>3</v>
      </c>
      <c r="L194" s="167">
        <f t="shared" si="22"/>
        <v>2.9</v>
      </c>
      <c r="M194" s="167">
        <f t="shared" si="20"/>
        <v>-0.08</v>
      </c>
      <c r="N194" s="170">
        <v>40779</v>
      </c>
      <c r="O194" s="111">
        <v>3.2</v>
      </c>
      <c r="P194" s="173">
        <v>3.1</v>
      </c>
    </row>
    <row r="195" spans="3:16" x14ac:dyDescent="0.2">
      <c r="C195" s="109">
        <v>40753</v>
      </c>
      <c r="D195" s="121">
        <v>202</v>
      </c>
      <c r="E195" s="115">
        <v>170</v>
      </c>
      <c r="F195" s="118">
        <v>151</v>
      </c>
      <c r="G195" s="167">
        <f t="shared" si="16"/>
        <v>161.20000000000002</v>
      </c>
      <c r="H195" s="167">
        <f t="shared" si="17"/>
        <v>156</v>
      </c>
      <c r="I195" s="167">
        <f t="shared" si="18"/>
        <v>310</v>
      </c>
      <c r="J195" s="167">
        <f t="shared" si="19"/>
        <v>300</v>
      </c>
      <c r="K195" s="167">
        <f t="shared" si="22"/>
        <v>3.1</v>
      </c>
      <c r="L195" s="167">
        <f t="shared" si="22"/>
        <v>3</v>
      </c>
      <c r="M195" s="167">
        <f t="shared" si="20"/>
        <v>-8.7999999999999828E-2</v>
      </c>
      <c r="N195" s="170">
        <v>40780</v>
      </c>
      <c r="O195" s="111"/>
      <c r="P195" s="173"/>
    </row>
    <row r="196" spans="3:16" x14ac:dyDescent="0.2">
      <c r="C196" s="109">
        <v>40760</v>
      </c>
      <c r="D196" s="121">
        <v>200</v>
      </c>
      <c r="E196" s="115">
        <v>165</v>
      </c>
      <c r="F196" s="118">
        <v>156</v>
      </c>
      <c r="G196" s="167">
        <f t="shared" si="16"/>
        <v>161.20000000000002</v>
      </c>
      <c r="H196" s="167">
        <f t="shared" si="17"/>
        <v>156</v>
      </c>
      <c r="I196" s="167">
        <f t="shared" si="18"/>
        <v>310</v>
      </c>
      <c r="J196" s="167">
        <f t="shared" si="19"/>
        <v>300</v>
      </c>
      <c r="K196" s="167">
        <f t="shared" ref="K196:L198" si="23">O190</f>
        <v>3.1</v>
      </c>
      <c r="L196" s="167">
        <f t="shared" si="23"/>
        <v>3</v>
      </c>
      <c r="M196" s="167">
        <f t="shared" si="20"/>
        <v>-3.7999999999999833E-2</v>
      </c>
      <c r="N196" s="170">
        <v>40786</v>
      </c>
      <c r="O196" s="111">
        <v>3.27</v>
      </c>
      <c r="P196" s="173">
        <v>3.17</v>
      </c>
    </row>
    <row r="197" spans="3:16" x14ac:dyDescent="0.2">
      <c r="C197" s="109">
        <v>40767</v>
      </c>
      <c r="D197" s="121">
        <v>200.1</v>
      </c>
      <c r="E197" s="115">
        <v>162.5</v>
      </c>
      <c r="F197" s="118">
        <v>163</v>
      </c>
      <c r="G197" s="167">
        <f t="shared" si="16"/>
        <v>163.80000000000001</v>
      </c>
      <c r="H197" s="167">
        <f t="shared" si="17"/>
        <v>158.6</v>
      </c>
      <c r="I197" s="167">
        <f t="shared" si="18"/>
        <v>315</v>
      </c>
      <c r="J197" s="167">
        <f t="shared" si="19"/>
        <v>305</v>
      </c>
      <c r="K197" s="167">
        <f t="shared" si="23"/>
        <v>3.15</v>
      </c>
      <c r="L197" s="167">
        <f t="shared" si="23"/>
        <v>3.05</v>
      </c>
      <c r="M197" s="167">
        <f t="shared" si="20"/>
        <v>1.3000000000000114E-2</v>
      </c>
      <c r="N197" s="170">
        <v>40793</v>
      </c>
      <c r="O197" s="111">
        <v>3.35</v>
      </c>
      <c r="P197" s="173">
        <v>3.25</v>
      </c>
    </row>
    <row r="198" spans="3:16" x14ac:dyDescent="0.2">
      <c r="C198" s="109">
        <v>40774</v>
      </c>
      <c r="D198" s="121">
        <v>196</v>
      </c>
      <c r="E198" s="115">
        <v>172</v>
      </c>
      <c r="F198" s="118">
        <v>168</v>
      </c>
      <c r="G198" s="167">
        <f t="shared" si="16"/>
        <v>163.80000000000001</v>
      </c>
      <c r="H198" s="167">
        <f t="shared" si="17"/>
        <v>158.6</v>
      </c>
      <c r="I198" s="167">
        <f t="shared" si="18"/>
        <v>315</v>
      </c>
      <c r="J198" s="167">
        <f t="shared" si="19"/>
        <v>305</v>
      </c>
      <c r="K198" s="167">
        <f t="shared" si="23"/>
        <v>3.15</v>
      </c>
      <c r="L198" s="167">
        <f t="shared" si="23"/>
        <v>3.05</v>
      </c>
      <c r="M198" s="167">
        <f t="shared" si="20"/>
        <v>-8.1999999999999892E-2</v>
      </c>
      <c r="N198" s="170">
        <v>40802</v>
      </c>
      <c r="O198" s="111">
        <v>3.35</v>
      </c>
      <c r="P198" s="173">
        <v>3.25</v>
      </c>
    </row>
    <row r="199" spans="3:16" x14ac:dyDescent="0.2">
      <c r="C199" s="109">
        <v>40781</v>
      </c>
      <c r="D199" s="121">
        <v>207</v>
      </c>
      <c r="E199" s="115">
        <v>174</v>
      </c>
      <c r="F199" s="118">
        <v>163</v>
      </c>
      <c r="G199" s="167">
        <f t="shared" si="16"/>
        <v>166.4</v>
      </c>
      <c r="H199" s="167">
        <f t="shared" si="17"/>
        <v>161.20000000000002</v>
      </c>
      <c r="I199" s="167">
        <f t="shared" si="18"/>
        <v>320</v>
      </c>
      <c r="J199" s="167">
        <f t="shared" si="19"/>
        <v>310</v>
      </c>
      <c r="K199" s="167">
        <f>O194</f>
        <v>3.2</v>
      </c>
      <c r="L199" s="167">
        <f>P194</f>
        <v>3.1</v>
      </c>
      <c r="M199" s="167">
        <f t="shared" si="20"/>
        <v>-7.5999999999999943E-2</v>
      </c>
      <c r="N199" s="170">
        <v>40805</v>
      </c>
      <c r="O199" s="111">
        <v>3.45</v>
      </c>
      <c r="P199" s="173">
        <v>3.35</v>
      </c>
    </row>
    <row r="200" spans="3:16" x14ac:dyDescent="0.2">
      <c r="C200" s="109">
        <v>40788</v>
      </c>
      <c r="D200" s="121">
        <v>203</v>
      </c>
      <c r="E200" s="115">
        <v>185</v>
      </c>
      <c r="F200" s="118">
        <v>159</v>
      </c>
      <c r="G200" s="167">
        <f t="shared" si="16"/>
        <v>170.04</v>
      </c>
      <c r="H200" s="167">
        <f t="shared" si="17"/>
        <v>164.84</v>
      </c>
      <c r="I200" s="167">
        <f t="shared" si="18"/>
        <v>327</v>
      </c>
      <c r="J200" s="167">
        <f t="shared" si="19"/>
        <v>317</v>
      </c>
      <c r="K200" s="167">
        <f t="shared" ref="K200:L205" si="24">O196</f>
        <v>3.27</v>
      </c>
      <c r="L200" s="167">
        <f t="shared" si="24"/>
        <v>3.17</v>
      </c>
      <c r="M200" s="167">
        <f t="shared" si="20"/>
        <v>-0.14960000000000007</v>
      </c>
      <c r="N200" s="170">
        <v>40813</v>
      </c>
      <c r="O200" s="111">
        <v>3.52</v>
      </c>
      <c r="P200" s="173">
        <v>3.42</v>
      </c>
    </row>
    <row r="201" spans="3:16" x14ac:dyDescent="0.2">
      <c r="C201" s="109">
        <v>40795</v>
      </c>
      <c r="D201" s="121">
        <v>221</v>
      </c>
      <c r="E201" s="115">
        <v>164</v>
      </c>
      <c r="F201" s="118">
        <v>168</v>
      </c>
      <c r="G201" s="167">
        <f t="shared" si="16"/>
        <v>174.20000000000002</v>
      </c>
      <c r="H201" s="167">
        <f t="shared" si="17"/>
        <v>169</v>
      </c>
      <c r="I201" s="167">
        <f t="shared" si="18"/>
        <v>335</v>
      </c>
      <c r="J201" s="167">
        <f t="shared" si="19"/>
        <v>325</v>
      </c>
      <c r="K201" s="167">
        <f t="shared" si="24"/>
        <v>3.35</v>
      </c>
      <c r="L201" s="167">
        <f t="shared" si="24"/>
        <v>3.25</v>
      </c>
      <c r="M201" s="167">
        <f t="shared" si="20"/>
        <v>0.10200000000000017</v>
      </c>
      <c r="N201" s="170">
        <v>40826</v>
      </c>
      <c r="O201" s="111">
        <v>3.55</v>
      </c>
      <c r="P201" s="173">
        <v>3.45</v>
      </c>
    </row>
    <row r="202" spans="3:16" x14ac:dyDescent="0.2">
      <c r="C202" s="109">
        <v>40802</v>
      </c>
      <c r="D202" s="121">
        <v>213</v>
      </c>
      <c r="E202" s="115">
        <v>177</v>
      </c>
      <c r="F202" s="118">
        <v>159</v>
      </c>
      <c r="G202" s="167">
        <f t="shared" si="16"/>
        <v>174.20000000000002</v>
      </c>
      <c r="H202" s="167">
        <f t="shared" si="17"/>
        <v>169</v>
      </c>
      <c r="I202" s="167">
        <f t="shared" si="18"/>
        <v>335</v>
      </c>
      <c r="J202" s="167">
        <f t="shared" si="19"/>
        <v>325</v>
      </c>
      <c r="K202" s="167">
        <f t="shared" si="24"/>
        <v>3.35</v>
      </c>
      <c r="L202" s="167">
        <f t="shared" si="24"/>
        <v>3.25</v>
      </c>
      <c r="M202" s="167">
        <f t="shared" si="20"/>
        <v>-2.7999999999999831E-2</v>
      </c>
      <c r="N202" s="170">
        <v>40842</v>
      </c>
      <c r="O202" s="111">
        <v>3.55</v>
      </c>
      <c r="P202" s="173">
        <v>3.45</v>
      </c>
    </row>
    <row r="203" spans="3:16" x14ac:dyDescent="0.2">
      <c r="C203" s="109">
        <v>40809</v>
      </c>
      <c r="D203" s="121">
        <v>213</v>
      </c>
      <c r="E203" s="115">
        <v>184</v>
      </c>
      <c r="F203" s="118">
        <v>172</v>
      </c>
      <c r="G203" s="167">
        <f t="shared" si="16"/>
        <v>179.4</v>
      </c>
      <c r="H203" s="167">
        <f t="shared" si="17"/>
        <v>174.20000000000002</v>
      </c>
      <c r="I203" s="167">
        <f t="shared" si="18"/>
        <v>345</v>
      </c>
      <c r="J203" s="167">
        <f t="shared" si="19"/>
        <v>335</v>
      </c>
      <c r="K203" s="167">
        <f t="shared" si="24"/>
        <v>3.45</v>
      </c>
      <c r="L203" s="167">
        <f t="shared" si="24"/>
        <v>3.35</v>
      </c>
      <c r="M203" s="167">
        <f t="shared" si="20"/>
        <v>-4.5999999999999944E-2</v>
      </c>
      <c r="N203" s="170">
        <v>40844</v>
      </c>
      <c r="O203" s="111">
        <v>3.5</v>
      </c>
      <c r="P203" s="173">
        <v>3.4</v>
      </c>
    </row>
    <row r="204" spans="3:16" x14ac:dyDescent="0.2">
      <c r="C204" s="109">
        <v>40816</v>
      </c>
      <c r="D204" s="121">
        <v>193</v>
      </c>
      <c r="E204" s="115">
        <v>183</v>
      </c>
      <c r="F204" s="118">
        <v>184</v>
      </c>
      <c r="G204" s="167">
        <f t="shared" si="16"/>
        <v>183.04000000000002</v>
      </c>
      <c r="H204" s="167">
        <f t="shared" si="17"/>
        <v>177.84</v>
      </c>
      <c r="I204" s="167">
        <f t="shared" si="18"/>
        <v>352</v>
      </c>
      <c r="J204" s="167">
        <f t="shared" si="19"/>
        <v>342</v>
      </c>
      <c r="K204" s="167">
        <f t="shared" si="24"/>
        <v>3.52</v>
      </c>
      <c r="L204" s="167">
        <f t="shared" si="24"/>
        <v>3.42</v>
      </c>
      <c r="M204" s="167">
        <f t="shared" si="20"/>
        <v>4.0000000000020466E-4</v>
      </c>
      <c r="N204" s="170">
        <v>40851</v>
      </c>
      <c r="O204" s="111">
        <v>3.45</v>
      </c>
      <c r="P204" s="173">
        <v>3.35</v>
      </c>
    </row>
    <row r="205" spans="3:16" x14ac:dyDescent="0.2">
      <c r="C205" s="109">
        <v>40823</v>
      </c>
      <c r="D205" s="121">
        <v>206</v>
      </c>
      <c r="E205" s="115">
        <v>177</v>
      </c>
      <c r="F205" s="118">
        <v>187</v>
      </c>
      <c r="G205" s="167">
        <f t="shared" si="16"/>
        <v>184.6</v>
      </c>
      <c r="H205" s="167">
        <f t="shared" si="17"/>
        <v>179.4</v>
      </c>
      <c r="I205" s="167">
        <f t="shared" si="18"/>
        <v>355</v>
      </c>
      <c r="J205" s="167">
        <f t="shared" si="19"/>
        <v>345</v>
      </c>
      <c r="K205" s="167">
        <f t="shared" si="24"/>
        <v>3.55</v>
      </c>
      <c r="L205" s="167">
        <f t="shared" si="24"/>
        <v>3.45</v>
      </c>
      <c r="M205" s="167">
        <f t="shared" si="20"/>
        <v>7.5999999999999943E-2</v>
      </c>
      <c r="N205" s="170">
        <v>40856</v>
      </c>
      <c r="O205" s="111">
        <v>3.45</v>
      </c>
      <c r="P205" s="173">
        <v>3.35</v>
      </c>
    </row>
    <row r="206" spans="3:16" x14ac:dyDescent="0.2">
      <c r="C206" s="109">
        <v>40830</v>
      </c>
      <c r="D206" s="121">
        <v>202</v>
      </c>
      <c r="E206" s="115">
        <v>175</v>
      </c>
      <c r="F206" s="118">
        <v>174</v>
      </c>
      <c r="G206" s="167"/>
      <c r="H206" s="167"/>
      <c r="I206" s="167"/>
      <c r="J206" s="167"/>
      <c r="K206" s="167"/>
      <c r="L206" s="167"/>
      <c r="M206" s="167" t="str">
        <f t="shared" si="20"/>
        <v/>
      </c>
      <c r="N206" s="170">
        <v>40870</v>
      </c>
      <c r="O206" s="111">
        <v>3.57</v>
      </c>
      <c r="P206" s="173">
        <v>3.47</v>
      </c>
    </row>
    <row r="207" spans="3:16" x14ac:dyDescent="0.2">
      <c r="C207" s="109">
        <v>40837</v>
      </c>
      <c r="D207" s="121">
        <v>204</v>
      </c>
      <c r="E207" s="115">
        <v>184</v>
      </c>
      <c r="F207" s="118">
        <v>189</v>
      </c>
      <c r="G207" s="167">
        <f t="shared" ref="G207:G235" si="25">I207*$J$100</f>
        <v>184.6</v>
      </c>
      <c r="H207" s="167">
        <f t="shared" ref="H207:H235" si="26">J207*$J$100</f>
        <v>179.4</v>
      </c>
      <c r="I207" s="167">
        <f t="shared" ref="I207:I235" si="27">K207*100</f>
        <v>355</v>
      </c>
      <c r="J207" s="167">
        <f t="shared" ref="J207:J235" si="28">L207*100</f>
        <v>345</v>
      </c>
      <c r="K207" s="167">
        <f t="shared" ref="K207:K215" si="29">O202</f>
        <v>3.55</v>
      </c>
      <c r="L207" s="167">
        <f t="shared" ref="L207:L215" si="30">P202</f>
        <v>3.45</v>
      </c>
      <c r="M207" s="167">
        <f t="shared" si="20"/>
        <v>5.9999999999999429E-3</v>
      </c>
      <c r="N207" s="170">
        <v>40872</v>
      </c>
      <c r="O207" s="111">
        <v>3.65</v>
      </c>
      <c r="P207" s="173">
        <v>3.55</v>
      </c>
    </row>
    <row r="208" spans="3:16" x14ac:dyDescent="0.2">
      <c r="C208" s="109">
        <v>40844</v>
      </c>
      <c r="D208" s="121">
        <v>202</v>
      </c>
      <c r="E208" s="115">
        <v>181</v>
      </c>
      <c r="F208" s="118">
        <v>182</v>
      </c>
      <c r="G208" s="167">
        <f t="shared" si="25"/>
        <v>182</v>
      </c>
      <c r="H208" s="167">
        <f t="shared" si="26"/>
        <v>176.8</v>
      </c>
      <c r="I208" s="167">
        <f t="shared" si="27"/>
        <v>350</v>
      </c>
      <c r="J208" s="167">
        <f t="shared" si="28"/>
        <v>340</v>
      </c>
      <c r="K208" s="167">
        <f t="shared" si="29"/>
        <v>3.5</v>
      </c>
      <c r="L208" s="167">
        <f t="shared" si="30"/>
        <v>3.4</v>
      </c>
      <c r="M208" s="167">
        <f t="shared" si="20"/>
        <v>0.01</v>
      </c>
      <c r="N208" s="170">
        <v>40878</v>
      </c>
      <c r="O208" s="111">
        <v>3.65</v>
      </c>
      <c r="P208" s="173">
        <v>3.55</v>
      </c>
    </row>
    <row r="209" spans="3:16" x14ac:dyDescent="0.2">
      <c r="C209" s="109">
        <v>40851</v>
      </c>
      <c r="D209" s="121">
        <v>203</v>
      </c>
      <c r="E209" s="115">
        <v>175</v>
      </c>
      <c r="F209" s="118">
        <v>177</v>
      </c>
      <c r="G209" s="167">
        <f t="shared" si="25"/>
        <v>179.4</v>
      </c>
      <c r="H209" s="167">
        <f t="shared" si="26"/>
        <v>174.20000000000002</v>
      </c>
      <c r="I209" s="167">
        <f t="shared" si="27"/>
        <v>345</v>
      </c>
      <c r="J209" s="167">
        <f t="shared" si="28"/>
        <v>335</v>
      </c>
      <c r="K209" s="167">
        <f t="shared" si="29"/>
        <v>3.45</v>
      </c>
      <c r="L209" s="167">
        <f t="shared" si="30"/>
        <v>3.35</v>
      </c>
      <c r="M209" s="167">
        <f t="shared" si="20"/>
        <v>4.400000000000006E-2</v>
      </c>
      <c r="N209" s="170">
        <v>40883</v>
      </c>
      <c r="O209" s="111">
        <v>3.65</v>
      </c>
      <c r="P209" s="173">
        <v>3.55</v>
      </c>
    </row>
    <row r="210" spans="3:16" x14ac:dyDescent="0.2">
      <c r="C210" s="109">
        <v>40858</v>
      </c>
      <c r="D210" s="121">
        <v>211</v>
      </c>
      <c r="E210" s="115">
        <v>162</v>
      </c>
      <c r="F210" s="118">
        <v>174</v>
      </c>
      <c r="G210" s="167">
        <f t="shared" si="25"/>
        <v>179.4</v>
      </c>
      <c r="H210" s="167">
        <f t="shared" si="26"/>
        <v>174.20000000000002</v>
      </c>
      <c r="I210" s="167">
        <f t="shared" si="27"/>
        <v>345</v>
      </c>
      <c r="J210" s="167">
        <f t="shared" si="28"/>
        <v>335</v>
      </c>
      <c r="K210" s="167">
        <f t="shared" si="29"/>
        <v>3.45</v>
      </c>
      <c r="L210" s="167">
        <f t="shared" si="30"/>
        <v>3.35</v>
      </c>
      <c r="M210" s="167">
        <f t="shared" si="20"/>
        <v>0.17400000000000004</v>
      </c>
      <c r="N210" s="170">
        <v>40892</v>
      </c>
      <c r="O210" s="111">
        <v>3.65</v>
      </c>
      <c r="P210" s="173">
        <v>3.55</v>
      </c>
    </row>
    <row r="211" spans="3:16" x14ac:dyDescent="0.2">
      <c r="C211" s="109">
        <v>40865</v>
      </c>
      <c r="D211" s="121">
        <v>213</v>
      </c>
      <c r="E211" s="115">
        <v>188</v>
      </c>
      <c r="F211" s="118">
        <v>188</v>
      </c>
      <c r="G211" s="167">
        <f t="shared" si="25"/>
        <v>185.64000000000001</v>
      </c>
      <c r="H211" s="167">
        <f t="shared" si="26"/>
        <v>180.44</v>
      </c>
      <c r="I211" s="167">
        <f t="shared" si="27"/>
        <v>357</v>
      </c>
      <c r="J211" s="167">
        <f t="shared" si="28"/>
        <v>347</v>
      </c>
      <c r="K211" s="167">
        <f t="shared" si="29"/>
        <v>3.57</v>
      </c>
      <c r="L211" s="167">
        <f t="shared" si="30"/>
        <v>3.47</v>
      </c>
      <c r="M211" s="167">
        <f t="shared" si="20"/>
        <v>-2.3599999999999854E-2</v>
      </c>
      <c r="N211" s="170">
        <v>40924</v>
      </c>
      <c r="O211" s="111">
        <v>3.6</v>
      </c>
      <c r="P211" s="173">
        <v>3.5</v>
      </c>
    </row>
    <row r="212" spans="3:16" x14ac:dyDescent="0.2">
      <c r="C212" s="109">
        <v>40872</v>
      </c>
      <c r="D212" s="121">
        <v>206</v>
      </c>
      <c r="E212" s="115">
        <v>177</v>
      </c>
      <c r="F212" s="118">
        <v>189</v>
      </c>
      <c r="G212" s="167">
        <f t="shared" si="25"/>
        <v>189.8</v>
      </c>
      <c r="H212" s="167">
        <f t="shared" si="26"/>
        <v>184.6</v>
      </c>
      <c r="I212" s="167">
        <f t="shared" si="27"/>
        <v>365</v>
      </c>
      <c r="J212" s="167">
        <f t="shared" si="28"/>
        <v>355</v>
      </c>
      <c r="K212" s="167">
        <f t="shared" si="29"/>
        <v>3.65</v>
      </c>
      <c r="L212" s="167">
        <f t="shared" si="30"/>
        <v>3.55</v>
      </c>
      <c r="M212" s="167">
        <f t="shared" si="20"/>
        <v>0.12800000000000011</v>
      </c>
      <c r="N212" s="170">
        <v>40926</v>
      </c>
      <c r="O212" s="111">
        <v>3.5</v>
      </c>
      <c r="P212" s="173">
        <v>3.4</v>
      </c>
    </row>
    <row r="213" spans="3:16" x14ac:dyDescent="0.2">
      <c r="C213" s="109">
        <v>40879</v>
      </c>
      <c r="D213" s="121">
        <v>210</v>
      </c>
      <c r="E213" s="115">
        <v>173</v>
      </c>
      <c r="F213" s="118">
        <v>187</v>
      </c>
      <c r="G213" s="167">
        <f t="shared" si="25"/>
        <v>189.8</v>
      </c>
      <c r="H213" s="167">
        <f t="shared" si="26"/>
        <v>184.6</v>
      </c>
      <c r="I213" s="167">
        <f t="shared" si="27"/>
        <v>365</v>
      </c>
      <c r="J213" s="167">
        <f t="shared" si="28"/>
        <v>355</v>
      </c>
      <c r="K213" s="167">
        <f t="shared" si="29"/>
        <v>3.65</v>
      </c>
      <c r="L213" s="167">
        <f t="shared" si="30"/>
        <v>3.55</v>
      </c>
      <c r="M213" s="167">
        <f t="shared" si="20"/>
        <v>0.16800000000000012</v>
      </c>
      <c r="N213" s="170">
        <v>40931</v>
      </c>
      <c r="O213" s="111">
        <v>3.4</v>
      </c>
      <c r="P213" s="173">
        <v>3.3</v>
      </c>
    </row>
    <row r="214" spans="3:16" x14ac:dyDescent="0.2">
      <c r="C214" s="109">
        <v>40886</v>
      </c>
      <c r="D214" s="121">
        <v>214</v>
      </c>
      <c r="E214" s="115">
        <v>189</v>
      </c>
      <c r="F214" s="118">
        <v>184</v>
      </c>
      <c r="G214" s="167">
        <f t="shared" si="25"/>
        <v>189.8</v>
      </c>
      <c r="H214" s="167">
        <f t="shared" si="26"/>
        <v>184.6</v>
      </c>
      <c r="I214" s="167">
        <f t="shared" si="27"/>
        <v>365</v>
      </c>
      <c r="J214" s="167">
        <f t="shared" si="28"/>
        <v>355</v>
      </c>
      <c r="K214" s="167">
        <f t="shared" si="29"/>
        <v>3.65</v>
      </c>
      <c r="L214" s="167">
        <f t="shared" si="30"/>
        <v>3.55</v>
      </c>
      <c r="M214" s="167">
        <f t="shared" si="20"/>
        <v>8.0000000000001129E-3</v>
      </c>
      <c r="N214" s="170">
        <v>40933</v>
      </c>
      <c r="O214" s="111"/>
      <c r="P214" s="173"/>
    </row>
    <row r="215" spans="3:16" x14ac:dyDescent="0.2">
      <c r="C215" s="109">
        <v>40893</v>
      </c>
      <c r="D215" s="121">
        <v>225</v>
      </c>
      <c r="E215" s="115">
        <v>200</v>
      </c>
      <c r="F215" s="118">
        <v>187</v>
      </c>
      <c r="G215" s="167">
        <f t="shared" si="25"/>
        <v>189.8</v>
      </c>
      <c r="H215" s="167">
        <f t="shared" si="26"/>
        <v>184.6</v>
      </c>
      <c r="I215" s="167">
        <f t="shared" si="27"/>
        <v>365</v>
      </c>
      <c r="J215" s="167">
        <f t="shared" si="28"/>
        <v>355</v>
      </c>
      <c r="K215" s="167">
        <f t="shared" si="29"/>
        <v>3.65</v>
      </c>
      <c r="L215" s="167">
        <f t="shared" si="30"/>
        <v>3.55</v>
      </c>
      <c r="M215" s="167">
        <f t="shared" si="20"/>
        <v>-0.10199999999999988</v>
      </c>
      <c r="N215" s="170">
        <v>40938</v>
      </c>
      <c r="O215" s="111">
        <v>3.4</v>
      </c>
      <c r="P215" s="173">
        <v>3.3</v>
      </c>
    </row>
    <row r="216" spans="3:16" x14ac:dyDescent="0.2">
      <c r="C216" s="109">
        <v>40921</v>
      </c>
      <c r="D216" s="121"/>
      <c r="E216" s="115">
        <v>192</v>
      </c>
      <c r="F216" s="118">
        <v>186</v>
      </c>
      <c r="G216" s="167">
        <f t="shared" si="25"/>
        <v>189.8</v>
      </c>
      <c r="H216" s="167">
        <f t="shared" si="26"/>
        <v>184.6</v>
      </c>
      <c r="I216" s="167">
        <f t="shared" si="27"/>
        <v>365</v>
      </c>
      <c r="J216" s="167">
        <f t="shared" si="28"/>
        <v>355</v>
      </c>
      <c r="K216" s="167">
        <f>O210</f>
        <v>3.65</v>
      </c>
      <c r="L216" s="167">
        <f>P210</f>
        <v>3.55</v>
      </c>
      <c r="M216" s="167">
        <f t="shared" si="20"/>
        <v>-2.1999999999999888E-2</v>
      </c>
      <c r="N216" s="170">
        <v>40949</v>
      </c>
      <c r="O216" s="111">
        <v>3.35</v>
      </c>
      <c r="P216" s="173">
        <v>3.25</v>
      </c>
    </row>
    <row r="217" spans="3:16" x14ac:dyDescent="0.2">
      <c r="C217" s="109">
        <v>40928</v>
      </c>
      <c r="D217" s="121">
        <v>206</v>
      </c>
      <c r="E217" s="115">
        <v>169</v>
      </c>
      <c r="F217" s="118">
        <v>178</v>
      </c>
      <c r="G217" s="167">
        <f t="shared" si="25"/>
        <v>182</v>
      </c>
      <c r="H217" s="167">
        <f t="shared" si="26"/>
        <v>176.8</v>
      </c>
      <c r="I217" s="167">
        <f t="shared" si="27"/>
        <v>350</v>
      </c>
      <c r="J217" s="167">
        <f t="shared" si="28"/>
        <v>340</v>
      </c>
      <c r="K217" s="167">
        <f>O212</f>
        <v>3.5</v>
      </c>
      <c r="L217" s="167">
        <f>P212</f>
        <v>3.4</v>
      </c>
      <c r="M217" s="167">
        <f t="shared" si="20"/>
        <v>0.13</v>
      </c>
      <c r="N217" s="170">
        <v>40952</v>
      </c>
      <c r="O217" s="111">
        <v>3.3</v>
      </c>
      <c r="P217" s="173">
        <v>3.2</v>
      </c>
    </row>
    <row r="218" spans="3:16" x14ac:dyDescent="0.2">
      <c r="C218" s="109">
        <v>40956</v>
      </c>
      <c r="D218" s="121">
        <v>209</v>
      </c>
      <c r="E218" s="115">
        <v>185</v>
      </c>
      <c r="F218" s="118">
        <v>168</v>
      </c>
      <c r="G218" s="167">
        <f t="shared" si="25"/>
        <v>171.6</v>
      </c>
      <c r="H218" s="167">
        <f t="shared" si="26"/>
        <v>166.4</v>
      </c>
      <c r="I218" s="167">
        <f t="shared" si="27"/>
        <v>330</v>
      </c>
      <c r="J218" s="167">
        <f t="shared" si="28"/>
        <v>320</v>
      </c>
      <c r="K218" s="167">
        <f>O217</f>
        <v>3.3</v>
      </c>
      <c r="L218" s="167">
        <f>P217</f>
        <v>3.2</v>
      </c>
      <c r="M218" s="167">
        <f t="shared" si="20"/>
        <v>-0.13400000000000006</v>
      </c>
      <c r="N218" s="170">
        <v>40963</v>
      </c>
      <c r="O218" s="111">
        <v>3.3</v>
      </c>
      <c r="P218" s="173">
        <v>3.2</v>
      </c>
    </row>
    <row r="219" spans="3:16" x14ac:dyDescent="0.2">
      <c r="C219" s="109">
        <v>40963</v>
      </c>
      <c r="D219" s="121">
        <v>215</v>
      </c>
      <c r="E219" s="115">
        <v>186</v>
      </c>
      <c r="F219" s="118">
        <v>171</v>
      </c>
      <c r="G219" s="167">
        <f t="shared" si="25"/>
        <v>171.6</v>
      </c>
      <c r="H219" s="167">
        <f t="shared" si="26"/>
        <v>166.4</v>
      </c>
      <c r="I219" s="167">
        <f t="shared" si="27"/>
        <v>330</v>
      </c>
      <c r="J219" s="167">
        <f t="shared" si="28"/>
        <v>320</v>
      </c>
      <c r="K219" s="167">
        <f>O218</f>
        <v>3.3</v>
      </c>
      <c r="L219" s="167">
        <f>P218</f>
        <v>3.2</v>
      </c>
      <c r="M219" s="167">
        <f t="shared" si="20"/>
        <v>-0.14400000000000004</v>
      </c>
      <c r="N219" s="170">
        <v>40968</v>
      </c>
      <c r="O219" s="111">
        <v>3.35</v>
      </c>
      <c r="P219" s="173">
        <v>3.25</v>
      </c>
    </row>
    <row r="220" spans="3:16" x14ac:dyDescent="0.2">
      <c r="C220" s="109">
        <v>40970</v>
      </c>
      <c r="D220" s="121">
        <v>218</v>
      </c>
      <c r="E220" s="115">
        <v>179</v>
      </c>
      <c r="F220" s="118">
        <v>176</v>
      </c>
      <c r="G220" s="167">
        <f t="shared" si="25"/>
        <v>174.20000000000002</v>
      </c>
      <c r="H220" s="167">
        <f t="shared" si="26"/>
        <v>169</v>
      </c>
      <c r="I220" s="167">
        <f t="shared" si="27"/>
        <v>335</v>
      </c>
      <c r="J220" s="167">
        <f t="shared" si="28"/>
        <v>325</v>
      </c>
      <c r="K220" s="167">
        <f t="shared" ref="K220:L223" si="31">O220</f>
        <v>3.35</v>
      </c>
      <c r="L220" s="167">
        <f t="shared" si="31"/>
        <v>3.25</v>
      </c>
      <c r="M220" s="167">
        <f t="shared" si="20"/>
        <v>-4.7999999999999828E-2</v>
      </c>
      <c r="N220" s="170">
        <v>40973</v>
      </c>
      <c r="O220" s="111">
        <v>3.35</v>
      </c>
      <c r="P220" s="173">
        <v>3.25</v>
      </c>
    </row>
    <row r="221" spans="3:16" x14ac:dyDescent="0.2">
      <c r="C221" s="109">
        <v>40977</v>
      </c>
      <c r="D221" s="121">
        <v>208</v>
      </c>
      <c r="E221" s="115">
        <v>172</v>
      </c>
      <c r="F221" s="118">
        <v>175</v>
      </c>
      <c r="G221" s="167">
        <f t="shared" si="25"/>
        <v>176.8</v>
      </c>
      <c r="H221" s="167">
        <f t="shared" si="26"/>
        <v>171.6</v>
      </c>
      <c r="I221" s="167">
        <f t="shared" si="27"/>
        <v>340</v>
      </c>
      <c r="J221" s="167">
        <f t="shared" si="28"/>
        <v>330</v>
      </c>
      <c r="K221" s="167">
        <f t="shared" si="31"/>
        <v>3.4</v>
      </c>
      <c r="L221" s="167">
        <f t="shared" si="31"/>
        <v>3.3</v>
      </c>
      <c r="M221" s="167">
        <f t="shared" si="20"/>
        <v>4.8000000000000112E-2</v>
      </c>
      <c r="N221" s="170">
        <v>40977</v>
      </c>
      <c r="O221" s="111">
        <v>3.4</v>
      </c>
      <c r="P221" s="173">
        <v>3.3</v>
      </c>
    </row>
    <row r="222" spans="3:16" x14ac:dyDescent="0.2">
      <c r="C222" s="109">
        <v>40984</v>
      </c>
      <c r="D222" s="121">
        <v>222</v>
      </c>
      <c r="E222" s="115">
        <v>193</v>
      </c>
      <c r="F222" s="118">
        <v>175</v>
      </c>
      <c r="G222" s="167">
        <f t="shared" si="25"/>
        <v>174.20000000000002</v>
      </c>
      <c r="H222" s="167">
        <f t="shared" si="26"/>
        <v>169</v>
      </c>
      <c r="I222" s="167">
        <f t="shared" si="27"/>
        <v>335</v>
      </c>
      <c r="J222" s="167">
        <f t="shared" si="28"/>
        <v>325</v>
      </c>
      <c r="K222" s="167">
        <f t="shared" si="31"/>
        <v>3.35</v>
      </c>
      <c r="L222" s="167">
        <f t="shared" si="31"/>
        <v>3.25</v>
      </c>
      <c r="M222" s="167">
        <f t="shared" si="20"/>
        <v>-0.18799999999999983</v>
      </c>
      <c r="N222" s="170">
        <v>40984</v>
      </c>
      <c r="O222" s="111">
        <v>3.35</v>
      </c>
      <c r="P222" s="173">
        <v>3.25</v>
      </c>
    </row>
    <row r="223" spans="3:16" x14ac:dyDescent="0.2">
      <c r="C223" s="109">
        <v>40991</v>
      </c>
      <c r="D223" s="121"/>
      <c r="E223" s="115"/>
      <c r="F223" s="118"/>
      <c r="G223" s="167">
        <f t="shared" si="25"/>
        <v>176.8</v>
      </c>
      <c r="H223" s="167">
        <f t="shared" si="26"/>
        <v>171.6</v>
      </c>
      <c r="I223" s="167">
        <f t="shared" si="27"/>
        <v>340</v>
      </c>
      <c r="J223" s="167">
        <f t="shared" si="28"/>
        <v>330</v>
      </c>
      <c r="K223" s="167">
        <f t="shared" si="31"/>
        <v>3.4</v>
      </c>
      <c r="L223" s="167">
        <f t="shared" si="31"/>
        <v>3.3</v>
      </c>
      <c r="M223" s="167" t="str">
        <f t="shared" si="20"/>
        <v/>
      </c>
      <c r="N223" s="170">
        <v>40989</v>
      </c>
      <c r="O223" s="111">
        <v>3.4</v>
      </c>
      <c r="P223" s="173">
        <v>3.3</v>
      </c>
    </row>
    <row r="224" spans="3:16" x14ac:dyDescent="0.2">
      <c r="C224" s="109">
        <v>40998</v>
      </c>
      <c r="D224" s="121">
        <v>218</v>
      </c>
      <c r="E224" s="115">
        <v>181</v>
      </c>
      <c r="F224" s="118">
        <v>163</v>
      </c>
      <c r="G224" s="167">
        <f t="shared" si="25"/>
        <v>171.6</v>
      </c>
      <c r="H224" s="167">
        <f t="shared" si="26"/>
        <v>166.4</v>
      </c>
      <c r="I224" s="167">
        <f t="shared" si="27"/>
        <v>330</v>
      </c>
      <c r="J224" s="167">
        <f t="shared" si="28"/>
        <v>320</v>
      </c>
      <c r="K224" s="167">
        <f>O225</f>
        <v>3.3</v>
      </c>
      <c r="L224" s="167">
        <f>P225</f>
        <v>3.2</v>
      </c>
      <c r="M224" s="167">
        <f t="shared" si="20"/>
        <v>-9.4000000000000056E-2</v>
      </c>
      <c r="N224" s="170">
        <v>40996</v>
      </c>
      <c r="O224" s="111">
        <v>3.4</v>
      </c>
      <c r="P224" s="173">
        <v>3.3</v>
      </c>
    </row>
    <row r="225" spans="3:16" x14ac:dyDescent="0.2">
      <c r="C225" s="109">
        <v>41012</v>
      </c>
      <c r="D225" s="121">
        <v>205</v>
      </c>
      <c r="E225" s="115">
        <v>185</v>
      </c>
      <c r="F225" s="118">
        <v>160</v>
      </c>
      <c r="G225" s="167">
        <f t="shared" si="25"/>
        <v>163.80000000000001</v>
      </c>
      <c r="H225" s="167">
        <f t="shared" si="26"/>
        <v>158.6</v>
      </c>
      <c r="I225" s="167">
        <f t="shared" si="27"/>
        <v>315</v>
      </c>
      <c r="J225" s="167">
        <f t="shared" si="28"/>
        <v>305</v>
      </c>
      <c r="K225" s="167">
        <f t="shared" ref="K225:L227" si="32">O228</f>
        <v>3.15</v>
      </c>
      <c r="L225" s="167">
        <f t="shared" si="32"/>
        <v>3.05</v>
      </c>
      <c r="M225" s="167">
        <f t="shared" si="20"/>
        <v>-0.21199999999999988</v>
      </c>
      <c r="N225" s="170">
        <v>40997</v>
      </c>
      <c r="O225" s="111">
        <v>3.3</v>
      </c>
      <c r="P225" s="173">
        <v>3.2</v>
      </c>
    </row>
    <row r="226" spans="3:16" x14ac:dyDescent="0.2">
      <c r="C226" s="109">
        <v>41019</v>
      </c>
      <c r="D226" s="121">
        <v>201</v>
      </c>
      <c r="E226" s="115">
        <v>172</v>
      </c>
      <c r="F226" s="118">
        <v>156</v>
      </c>
      <c r="G226" s="167">
        <f t="shared" si="25"/>
        <v>161.20000000000002</v>
      </c>
      <c r="H226" s="167">
        <f t="shared" si="26"/>
        <v>156</v>
      </c>
      <c r="I226" s="167">
        <f t="shared" si="27"/>
        <v>310</v>
      </c>
      <c r="J226" s="167">
        <f t="shared" si="28"/>
        <v>300</v>
      </c>
      <c r="K226" s="167">
        <f t="shared" si="32"/>
        <v>3.1</v>
      </c>
      <c r="L226" s="167">
        <f t="shared" si="32"/>
        <v>3</v>
      </c>
      <c r="M226" s="167">
        <f t="shared" si="20"/>
        <v>-0.10799999999999983</v>
      </c>
      <c r="N226" s="170">
        <v>41003</v>
      </c>
      <c r="O226" s="111">
        <v>3.25</v>
      </c>
      <c r="P226" s="173">
        <v>3.15</v>
      </c>
    </row>
    <row r="227" spans="3:16" x14ac:dyDescent="0.2">
      <c r="C227" s="109">
        <v>41026</v>
      </c>
      <c r="D227" s="121">
        <v>200</v>
      </c>
      <c r="E227" s="115">
        <v>173</v>
      </c>
      <c r="F227" s="118">
        <v>158</v>
      </c>
      <c r="G227" s="167">
        <f t="shared" si="25"/>
        <v>161.20000000000002</v>
      </c>
      <c r="H227" s="167">
        <f t="shared" si="26"/>
        <v>156</v>
      </c>
      <c r="I227" s="167">
        <f t="shared" si="27"/>
        <v>310</v>
      </c>
      <c r="J227" s="167">
        <f t="shared" si="28"/>
        <v>300</v>
      </c>
      <c r="K227" s="167">
        <f t="shared" si="32"/>
        <v>3.1</v>
      </c>
      <c r="L227" s="167">
        <f t="shared" si="32"/>
        <v>3</v>
      </c>
      <c r="M227" s="167">
        <f t="shared" si="20"/>
        <v>-0.11799999999999983</v>
      </c>
      <c r="N227" s="170">
        <v>41010</v>
      </c>
      <c r="O227" s="111">
        <v>3.2</v>
      </c>
      <c r="P227" s="173">
        <v>3.1</v>
      </c>
    </row>
    <row r="228" spans="3:16" x14ac:dyDescent="0.2">
      <c r="C228" s="109">
        <v>41033</v>
      </c>
      <c r="D228" s="121">
        <v>204</v>
      </c>
      <c r="E228" s="115">
        <v>176</v>
      </c>
      <c r="F228" s="118">
        <v>163</v>
      </c>
      <c r="G228" s="167">
        <f t="shared" si="25"/>
        <v>163.80000000000001</v>
      </c>
      <c r="H228" s="167">
        <f t="shared" si="26"/>
        <v>158.6</v>
      </c>
      <c r="I228" s="167">
        <f t="shared" si="27"/>
        <v>315</v>
      </c>
      <c r="J228" s="167">
        <f t="shared" si="28"/>
        <v>305</v>
      </c>
      <c r="K228" s="167">
        <f t="shared" ref="K228:L231" si="33">O232</f>
        <v>3.15</v>
      </c>
      <c r="L228" s="167">
        <f t="shared" si="33"/>
        <v>3.05</v>
      </c>
      <c r="M228" s="167">
        <f t="shared" si="20"/>
        <v>-0.12199999999999989</v>
      </c>
      <c r="N228" s="170">
        <v>41012</v>
      </c>
      <c r="O228" s="111">
        <v>3.15</v>
      </c>
      <c r="P228" s="173">
        <v>3.05</v>
      </c>
    </row>
    <row r="229" spans="3:16" x14ac:dyDescent="0.2">
      <c r="C229" s="109">
        <v>41040</v>
      </c>
      <c r="D229" s="121">
        <v>193</v>
      </c>
      <c r="E229" s="115">
        <v>175</v>
      </c>
      <c r="F229" s="118">
        <v>165</v>
      </c>
      <c r="G229" s="167">
        <f t="shared" si="25"/>
        <v>163.80000000000001</v>
      </c>
      <c r="H229" s="167">
        <f t="shared" si="26"/>
        <v>158.6</v>
      </c>
      <c r="I229" s="167">
        <f t="shared" si="27"/>
        <v>315</v>
      </c>
      <c r="J229" s="167">
        <f t="shared" si="28"/>
        <v>305</v>
      </c>
      <c r="K229" s="167">
        <f t="shared" si="33"/>
        <v>3.15</v>
      </c>
      <c r="L229" s="167">
        <f t="shared" si="33"/>
        <v>3.05</v>
      </c>
      <c r="M229" s="167">
        <f t="shared" si="20"/>
        <v>-0.11199999999999989</v>
      </c>
      <c r="N229" s="170">
        <v>41017</v>
      </c>
      <c r="O229" s="111">
        <v>3.1</v>
      </c>
      <c r="P229" s="173">
        <v>3</v>
      </c>
    </row>
    <row r="230" spans="3:16" x14ac:dyDescent="0.2">
      <c r="C230" s="109">
        <v>41047</v>
      </c>
      <c r="D230" s="121">
        <v>194</v>
      </c>
      <c r="E230" s="115">
        <v>181</v>
      </c>
      <c r="F230" s="118">
        <v>166</v>
      </c>
      <c r="G230" s="167">
        <f t="shared" si="25"/>
        <v>166.4</v>
      </c>
      <c r="H230" s="167">
        <f t="shared" si="26"/>
        <v>161.20000000000002</v>
      </c>
      <c r="I230" s="167">
        <f t="shared" si="27"/>
        <v>320</v>
      </c>
      <c r="J230" s="167">
        <f t="shared" si="28"/>
        <v>310</v>
      </c>
      <c r="K230" s="167">
        <f t="shared" si="33"/>
        <v>3.2</v>
      </c>
      <c r="L230" s="167">
        <f t="shared" si="33"/>
        <v>3.1</v>
      </c>
      <c r="M230" s="167">
        <f t="shared" si="20"/>
        <v>-0.14599999999999994</v>
      </c>
      <c r="N230" s="170">
        <v>41026</v>
      </c>
      <c r="O230" s="111">
        <v>3.1</v>
      </c>
      <c r="P230" s="173">
        <v>3</v>
      </c>
    </row>
    <row r="231" spans="3:16" x14ac:dyDescent="0.2">
      <c r="C231" s="109">
        <v>41054</v>
      </c>
      <c r="D231" s="121">
        <v>191</v>
      </c>
      <c r="E231" s="115">
        <v>174</v>
      </c>
      <c r="F231" s="118">
        <v>167</v>
      </c>
      <c r="G231" s="167">
        <f t="shared" si="25"/>
        <v>163.80000000000001</v>
      </c>
      <c r="H231" s="167">
        <f t="shared" si="26"/>
        <v>158.6</v>
      </c>
      <c r="I231" s="167">
        <f t="shared" si="27"/>
        <v>315</v>
      </c>
      <c r="J231" s="167">
        <f t="shared" si="28"/>
        <v>305</v>
      </c>
      <c r="K231" s="167">
        <f t="shared" si="33"/>
        <v>3.15</v>
      </c>
      <c r="L231" s="167">
        <f t="shared" si="33"/>
        <v>3.05</v>
      </c>
      <c r="M231" s="167">
        <f t="shared" si="20"/>
        <v>-0.10199999999999988</v>
      </c>
      <c r="N231" s="170">
        <v>41029</v>
      </c>
      <c r="O231" s="111">
        <v>3.15</v>
      </c>
      <c r="P231" s="173">
        <v>3.05</v>
      </c>
    </row>
    <row r="232" spans="3:16" x14ac:dyDescent="0.2">
      <c r="C232" s="109">
        <v>41061</v>
      </c>
      <c r="D232" s="121">
        <v>199</v>
      </c>
      <c r="E232" s="115">
        <v>180</v>
      </c>
      <c r="F232" s="118">
        <v>158</v>
      </c>
      <c r="G232" s="167">
        <f t="shared" si="25"/>
        <v>163.80000000000001</v>
      </c>
      <c r="H232" s="167">
        <f t="shared" si="26"/>
        <v>158.6</v>
      </c>
      <c r="I232" s="167">
        <f t="shared" si="27"/>
        <v>315</v>
      </c>
      <c r="J232" s="167">
        <f t="shared" si="28"/>
        <v>305</v>
      </c>
      <c r="K232" s="167">
        <f t="shared" ref="K232:L235" si="34">O237</f>
        <v>3.15</v>
      </c>
      <c r="L232" s="167">
        <f t="shared" si="34"/>
        <v>3.05</v>
      </c>
      <c r="M232" s="167">
        <f t="shared" si="20"/>
        <v>-0.16199999999999989</v>
      </c>
      <c r="N232" s="170">
        <v>41038</v>
      </c>
      <c r="O232" s="111">
        <v>3.15</v>
      </c>
      <c r="P232" s="173">
        <v>3.05</v>
      </c>
    </row>
    <row r="233" spans="3:16" x14ac:dyDescent="0.2">
      <c r="C233" s="109">
        <v>41068</v>
      </c>
      <c r="D233" s="121">
        <v>193</v>
      </c>
      <c r="E233" s="115">
        <v>178</v>
      </c>
      <c r="F233" s="118">
        <v>164</v>
      </c>
      <c r="G233" s="167">
        <f t="shared" si="25"/>
        <v>166.4</v>
      </c>
      <c r="H233" s="167">
        <f t="shared" si="26"/>
        <v>161.20000000000002</v>
      </c>
      <c r="I233" s="167">
        <f t="shared" si="27"/>
        <v>320</v>
      </c>
      <c r="J233" s="167">
        <f t="shared" si="28"/>
        <v>310</v>
      </c>
      <c r="K233" s="167">
        <f t="shared" si="34"/>
        <v>3.2</v>
      </c>
      <c r="L233" s="167">
        <f t="shared" si="34"/>
        <v>3.1</v>
      </c>
      <c r="M233" s="167">
        <f t="shared" si="20"/>
        <v>-0.11599999999999994</v>
      </c>
      <c r="N233" s="170">
        <v>41043</v>
      </c>
      <c r="O233" s="111">
        <v>3.15</v>
      </c>
      <c r="P233" s="173">
        <v>3.05</v>
      </c>
    </row>
    <row r="234" spans="3:16" x14ac:dyDescent="0.2">
      <c r="C234" s="109">
        <v>41075</v>
      </c>
      <c r="D234" s="121"/>
      <c r="E234" s="115"/>
      <c r="F234" s="118"/>
      <c r="G234" s="167">
        <f t="shared" si="25"/>
        <v>166.4</v>
      </c>
      <c r="H234" s="167">
        <f t="shared" si="26"/>
        <v>161.20000000000002</v>
      </c>
      <c r="I234" s="167">
        <f t="shared" si="27"/>
        <v>320</v>
      </c>
      <c r="J234" s="167">
        <f t="shared" si="28"/>
        <v>310</v>
      </c>
      <c r="K234" s="167">
        <f t="shared" si="34"/>
        <v>3.2</v>
      </c>
      <c r="L234" s="167">
        <f t="shared" si="34"/>
        <v>3.1</v>
      </c>
      <c r="M234" s="167" t="str">
        <f t="shared" si="20"/>
        <v/>
      </c>
      <c r="N234" s="170">
        <v>41046</v>
      </c>
      <c r="O234" s="111">
        <v>3.2</v>
      </c>
      <c r="P234" s="173">
        <v>3.1</v>
      </c>
    </row>
    <row r="235" spans="3:16" x14ac:dyDescent="0.2">
      <c r="C235" s="109">
        <v>41082</v>
      </c>
      <c r="D235" s="121">
        <v>202</v>
      </c>
      <c r="E235" s="115">
        <v>167</v>
      </c>
      <c r="F235" s="118">
        <v>156</v>
      </c>
      <c r="G235" s="167">
        <f t="shared" si="25"/>
        <v>161.20000000000002</v>
      </c>
      <c r="H235" s="167">
        <f t="shared" si="26"/>
        <v>156</v>
      </c>
      <c r="I235" s="167">
        <f t="shared" si="27"/>
        <v>310</v>
      </c>
      <c r="J235" s="167">
        <f t="shared" si="28"/>
        <v>300</v>
      </c>
      <c r="K235" s="167">
        <f t="shared" si="34"/>
        <v>3.1</v>
      </c>
      <c r="L235" s="167">
        <f t="shared" si="34"/>
        <v>3</v>
      </c>
      <c r="M235" s="167">
        <f t="shared" si="20"/>
        <v>-5.7999999999999829E-2</v>
      </c>
      <c r="N235" s="170">
        <v>41052</v>
      </c>
      <c r="O235" s="111">
        <v>3.15</v>
      </c>
      <c r="P235" s="173">
        <v>3.05</v>
      </c>
    </row>
    <row r="236" spans="3:16" x14ac:dyDescent="0.2">
      <c r="C236" s="108">
        <v>41089</v>
      </c>
      <c r="D236" s="122">
        <v>187</v>
      </c>
      <c r="E236" s="116">
        <v>158</v>
      </c>
      <c r="F236" s="119">
        <v>165</v>
      </c>
      <c r="G236" s="168"/>
      <c r="H236" s="168"/>
      <c r="I236" s="168"/>
      <c r="J236" s="168"/>
      <c r="K236" s="168"/>
      <c r="L236" s="168"/>
      <c r="M236" s="167" t="str">
        <f t="shared" si="20"/>
        <v/>
      </c>
      <c r="N236" s="170">
        <v>41060</v>
      </c>
      <c r="O236" s="111">
        <v>3.15</v>
      </c>
      <c r="P236" s="173">
        <v>3.05</v>
      </c>
    </row>
    <row r="237" spans="3:16" x14ac:dyDescent="0.2">
      <c r="N237" s="170">
        <v>41064</v>
      </c>
      <c r="O237" s="111">
        <v>3.15</v>
      </c>
      <c r="P237" s="173">
        <v>3.05</v>
      </c>
    </row>
    <row r="238" spans="3:16" x14ac:dyDescent="0.2">
      <c r="N238" s="170">
        <v>41072</v>
      </c>
      <c r="O238" s="111">
        <v>3.2</v>
      </c>
      <c r="P238" s="173">
        <v>3.1</v>
      </c>
    </row>
    <row r="239" spans="3:16" x14ac:dyDescent="0.2">
      <c r="N239" s="170">
        <v>41080</v>
      </c>
      <c r="O239" s="111">
        <v>3.2</v>
      </c>
      <c r="P239" s="173">
        <v>3.1</v>
      </c>
    </row>
    <row r="240" spans="3:16" x14ac:dyDescent="0.2">
      <c r="N240" s="171">
        <v>41082</v>
      </c>
      <c r="O240" s="114">
        <v>3.1</v>
      </c>
      <c r="P240" s="159">
        <v>3</v>
      </c>
    </row>
    <row r="241" spans="12:12" x14ac:dyDescent="0.2">
      <c r="L241" s="117"/>
    </row>
    <row r="242" spans="12:12" x14ac:dyDescent="0.2">
      <c r="L242" s="117"/>
    </row>
    <row r="243" spans="12:12" x14ac:dyDescent="0.2">
      <c r="L243" s="117"/>
    </row>
    <row r="244" spans="12:12" x14ac:dyDescent="0.2">
      <c r="L244" s="117"/>
    </row>
    <row r="245" spans="12:12" x14ac:dyDescent="0.2">
      <c r="L245" s="117"/>
    </row>
    <row r="246" spans="12:12" x14ac:dyDescent="0.2">
      <c r="L246" s="117"/>
    </row>
    <row r="247" spans="12:12" x14ac:dyDescent="0.2">
      <c r="L247" s="117"/>
    </row>
    <row r="248" spans="12:12" x14ac:dyDescent="0.2">
      <c r="L248" s="117"/>
    </row>
    <row r="249" spans="12:12" x14ac:dyDescent="0.2">
      <c r="L249" s="117"/>
    </row>
    <row r="250" spans="12:12" x14ac:dyDescent="0.2">
      <c r="L250" s="117"/>
    </row>
    <row r="251" spans="12:12" x14ac:dyDescent="0.2">
      <c r="L251" s="117"/>
    </row>
    <row r="252" spans="12:12" x14ac:dyDescent="0.2">
      <c r="L252" s="117"/>
    </row>
    <row r="253" spans="12:12" x14ac:dyDescent="0.2">
      <c r="L253" s="117"/>
    </row>
    <row r="254" spans="12:12" x14ac:dyDescent="0.2">
      <c r="L254" s="117"/>
    </row>
    <row r="255" spans="12:12" x14ac:dyDescent="0.2">
      <c r="L255" s="117"/>
    </row>
    <row r="256" spans="12:12" x14ac:dyDescent="0.2">
      <c r="L256" s="117"/>
    </row>
    <row r="257" spans="12:12" x14ac:dyDescent="0.2">
      <c r="L257" s="117"/>
    </row>
    <row r="258" spans="12:12" x14ac:dyDescent="0.2">
      <c r="L258" s="117"/>
    </row>
    <row r="259" spans="12:12" x14ac:dyDescent="0.2">
      <c r="L259" s="117"/>
    </row>
    <row r="260" spans="12:12" x14ac:dyDescent="0.2">
      <c r="L260" s="117"/>
    </row>
    <row r="261" spans="12:12" x14ac:dyDescent="0.2">
      <c r="L261" s="117"/>
    </row>
    <row r="262" spans="12:12" x14ac:dyDescent="0.2">
      <c r="L262" s="117"/>
    </row>
    <row r="263" spans="12:12" x14ac:dyDescent="0.2">
      <c r="L263" s="117"/>
    </row>
    <row r="264" spans="12:12" x14ac:dyDescent="0.2">
      <c r="L264" s="117"/>
    </row>
    <row r="265" spans="12:12" x14ac:dyDescent="0.2">
      <c r="L265" s="117"/>
    </row>
    <row r="266" spans="12:12" x14ac:dyDescent="0.2">
      <c r="L266" s="117"/>
    </row>
    <row r="267" spans="12:12" x14ac:dyDescent="0.2">
      <c r="L267" s="117"/>
    </row>
    <row r="268" spans="12:12" x14ac:dyDescent="0.2">
      <c r="L268" s="117"/>
    </row>
    <row r="269" spans="12:12" x14ac:dyDescent="0.2">
      <c r="L269" s="117"/>
    </row>
    <row r="270" spans="12:12" x14ac:dyDescent="0.2">
      <c r="L270" s="117"/>
    </row>
    <row r="271" spans="12:12" x14ac:dyDescent="0.2">
      <c r="L271" s="117"/>
    </row>
    <row r="272" spans="12:12" x14ac:dyDescent="0.2">
      <c r="L272" s="117"/>
    </row>
    <row r="273" spans="12:12" x14ac:dyDescent="0.2">
      <c r="L273" s="117"/>
    </row>
    <row r="274" spans="12:12" x14ac:dyDescent="0.2">
      <c r="L274" s="117"/>
    </row>
    <row r="275" spans="12:12" x14ac:dyDescent="0.2">
      <c r="L275" s="117"/>
    </row>
    <row r="276" spans="12:12" x14ac:dyDescent="0.2">
      <c r="L276" s="117"/>
    </row>
    <row r="277" spans="12:12" x14ac:dyDescent="0.2">
      <c r="L277" s="117"/>
    </row>
    <row r="278" spans="12:12" x14ac:dyDescent="0.2">
      <c r="L278" s="117"/>
    </row>
    <row r="279" spans="12:12" x14ac:dyDescent="0.2">
      <c r="L279" s="117"/>
    </row>
    <row r="280" spans="12:12" x14ac:dyDescent="0.2">
      <c r="L280" s="117"/>
    </row>
    <row r="281" spans="12:12" x14ac:dyDescent="0.2">
      <c r="L281" s="117"/>
    </row>
    <row r="282" spans="12:12" x14ac:dyDescent="0.2">
      <c r="L282" s="117"/>
    </row>
    <row r="283" spans="12:12" x14ac:dyDescent="0.2">
      <c r="L283" s="117"/>
    </row>
    <row r="284" spans="12:12" x14ac:dyDescent="0.2">
      <c r="L284" s="117"/>
    </row>
    <row r="285" spans="12:12" x14ac:dyDescent="0.2">
      <c r="L285" s="117"/>
    </row>
    <row r="286" spans="12:12" x14ac:dyDescent="0.2">
      <c r="L286" s="117"/>
    </row>
    <row r="287" spans="12:12" x14ac:dyDescent="0.2">
      <c r="L287" s="117"/>
    </row>
    <row r="288" spans="12:12" x14ac:dyDescent="0.2">
      <c r="L288" s="117"/>
    </row>
    <row r="289" spans="12:12" x14ac:dyDescent="0.2">
      <c r="L289" s="117"/>
    </row>
    <row r="290" spans="12:12" x14ac:dyDescent="0.2">
      <c r="L290" s="117"/>
    </row>
    <row r="291" spans="12:12" x14ac:dyDescent="0.2">
      <c r="L291" s="117"/>
    </row>
    <row r="292" spans="12:12" x14ac:dyDescent="0.2">
      <c r="L292" s="117"/>
    </row>
    <row r="293" spans="12:12" x14ac:dyDescent="0.2">
      <c r="L293" s="117"/>
    </row>
    <row r="294" spans="12:12" x14ac:dyDescent="0.2">
      <c r="L294" s="117"/>
    </row>
    <row r="295" spans="12:12" x14ac:dyDescent="0.2">
      <c r="L295" s="117"/>
    </row>
    <row r="296" spans="12:12" x14ac:dyDescent="0.2">
      <c r="L296" s="117"/>
    </row>
    <row r="297" spans="12:12" x14ac:dyDescent="0.2">
      <c r="L297" s="117"/>
    </row>
    <row r="298" spans="12:12" x14ac:dyDescent="0.2">
      <c r="L298" s="117"/>
    </row>
    <row r="299" spans="12:12" x14ac:dyDescent="0.2">
      <c r="L299" s="117"/>
    </row>
    <row r="300" spans="12:12" x14ac:dyDescent="0.2">
      <c r="L300" s="117"/>
    </row>
    <row r="301" spans="12:12" x14ac:dyDescent="0.2">
      <c r="L301" s="117"/>
    </row>
    <row r="302" spans="12:12" x14ac:dyDescent="0.2">
      <c r="L302" s="117"/>
    </row>
    <row r="303" spans="12:12" x14ac:dyDescent="0.2">
      <c r="L303" s="117"/>
    </row>
  </sheetData>
  <mergeCells count="5">
    <mergeCell ref="D25:H25"/>
    <mergeCell ref="R27:R32"/>
    <mergeCell ref="R39:R44"/>
    <mergeCell ref="R5:R14"/>
    <mergeCell ref="R24:R25"/>
  </mergeCells>
  <phoneticPr fontId="15" type="noConversion"/>
  <pageMargins left="0.75" right="0.75" top="1" bottom="1" header="0.5" footer="0.5"/>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pageSetUpPr fitToPage="1"/>
  </sheetPr>
  <dimension ref="B2:BI102"/>
  <sheetViews>
    <sheetView showGridLines="0" zoomScale="60" workbookViewId="0"/>
  </sheetViews>
  <sheetFormatPr defaultColWidth="9.44140625" defaultRowHeight="12.75" x14ac:dyDescent="0.2"/>
  <cols>
    <col min="1" max="1" width="9.44140625" style="2"/>
    <col min="2" max="2" width="68.21875" style="2" customWidth="1"/>
    <col min="3" max="16" width="15.77734375" style="4" customWidth="1"/>
    <col min="17" max="17" width="20.77734375" style="4" customWidth="1"/>
    <col min="18" max="18" width="15.77734375" style="4" customWidth="1"/>
    <col min="19" max="19" width="19" style="4" customWidth="1"/>
    <col min="20" max="27" width="15.77734375" style="4" customWidth="1"/>
    <col min="28" max="61" width="12.109375" style="2" customWidth="1"/>
    <col min="62" max="16384" width="9.44140625" style="2"/>
  </cols>
  <sheetData>
    <row r="2" spans="2:61" x14ac:dyDescent="0.2">
      <c r="B2" s="24" t="s">
        <v>966</v>
      </c>
    </row>
    <row r="3" spans="2:61" ht="15" x14ac:dyDescent="0.2">
      <c r="B3" s="124" t="s">
        <v>911</v>
      </c>
      <c r="BA3" s="25"/>
      <c r="BB3" s="25"/>
      <c r="BC3" s="25"/>
      <c r="BD3" s="25"/>
      <c r="BE3" s="25"/>
      <c r="BF3" s="25"/>
      <c r="BG3" s="25"/>
      <c r="BH3" s="25"/>
      <c r="BI3" s="25"/>
    </row>
    <row r="4" spans="2:61" x14ac:dyDescent="0.2">
      <c r="B4" s="25"/>
    </row>
    <row r="5" spans="2:61" x14ac:dyDescent="0.2">
      <c r="B5" s="26" t="s">
        <v>346</v>
      </c>
      <c r="C5" s="27">
        <v>1</v>
      </c>
      <c r="D5" s="28"/>
      <c r="E5" s="28"/>
      <c r="F5" s="28"/>
      <c r="G5" s="28"/>
      <c r="H5" s="28"/>
      <c r="I5" s="28"/>
      <c r="J5" s="28"/>
      <c r="K5" s="28"/>
      <c r="L5" s="28"/>
      <c r="M5" s="28"/>
      <c r="N5" s="28"/>
      <c r="O5" s="28"/>
      <c r="P5" s="28"/>
      <c r="Q5" s="28"/>
      <c r="R5" s="28"/>
      <c r="S5" s="28"/>
      <c r="T5" s="28"/>
      <c r="U5" s="28"/>
      <c r="V5" s="28"/>
      <c r="W5" s="28"/>
      <c r="X5" s="28"/>
      <c r="Y5" s="28"/>
      <c r="Z5" s="28"/>
      <c r="AA5" s="28"/>
    </row>
    <row r="6" spans="2:61" x14ac:dyDescent="0.2">
      <c r="B6" s="26" t="s">
        <v>967</v>
      </c>
      <c r="C6" s="27">
        <v>25</v>
      </c>
      <c r="D6" s="28"/>
      <c r="E6" s="28"/>
      <c r="F6" s="28"/>
      <c r="G6" s="28"/>
      <c r="H6" s="28"/>
      <c r="I6" s="28"/>
      <c r="J6" s="28"/>
      <c r="K6" s="28"/>
      <c r="L6" s="28"/>
      <c r="M6" s="28"/>
      <c r="N6" s="28"/>
      <c r="O6" s="28"/>
      <c r="P6" s="28"/>
      <c r="Q6" s="28"/>
      <c r="R6" s="28"/>
      <c r="S6" s="28"/>
      <c r="T6" s="28"/>
      <c r="U6" s="28"/>
      <c r="V6" s="28"/>
      <c r="W6" s="28"/>
      <c r="X6" s="28"/>
      <c r="Y6" s="28"/>
      <c r="Z6" s="28"/>
      <c r="AA6" s="28"/>
    </row>
    <row r="7" spans="2:61" x14ac:dyDescent="0.2">
      <c r="B7" s="26" t="s">
        <v>968</v>
      </c>
      <c r="C7" s="61">
        <v>0.08</v>
      </c>
      <c r="D7" s="29"/>
      <c r="E7" s="29"/>
      <c r="F7" s="29"/>
      <c r="G7" s="29"/>
      <c r="H7" s="29"/>
      <c r="I7" s="29"/>
      <c r="J7" s="29"/>
      <c r="K7" s="29"/>
      <c r="L7" s="29"/>
      <c r="M7" s="29"/>
      <c r="N7" s="29"/>
      <c r="O7" s="29"/>
      <c r="P7" s="29"/>
      <c r="Q7" s="29"/>
      <c r="R7" s="29"/>
      <c r="S7" s="29"/>
      <c r="T7" s="29"/>
      <c r="U7" s="29"/>
      <c r="V7" s="29"/>
      <c r="W7" s="29"/>
      <c r="X7" s="29"/>
      <c r="Y7" s="29"/>
      <c r="Z7" s="29"/>
      <c r="AA7" s="29"/>
    </row>
    <row r="8" spans="2:61" x14ac:dyDescent="0.2">
      <c r="B8" s="26" t="s">
        <v>969</v>
      </c>
      <c r="C8" s="61">
        <v>0.03</v>
      </c>
      <c r="D8" s="29"/>
      <c r="E8" s="29"/>
      <c r="F8" s="29"/>
      <c r="G8" s="29"/>
      <c r="H8" s="29"/>
      <c r="I8" s="29"/>
      <c r="J8" s="29"/>
      <c r="K8" s="29"/>
      <c r="L8" s="29"/>
    </row>
    <row r="9" spans="2:61" x14ac:dyDescent="0.2">
      <c r="B9" s="26" t="s">
        <v>347</v>
      </c>
      <c r="C9" s="30">
        <v>10</v>
      </c>
      <c r="D9" s="28"/>
      <c r="E9" s="28"/>
      <c r="F9" s="28"/>
      <c r="G9" s="28"/>
      <c r="H9" s="28"/>
      <c r="I9" s="28"/>
      <c r="J9" s="28"/>
      <c r="K9" s="28"/>
      <c r="L9" s="28"/>
    </row>
    <row r="11" spans="2:61" x14ac:dyDescent="0.2">
      <c r="B11" s="125" t="s">
        <v>598</v>
      </c>
      <c r="C11" s="4" t="s">
        <v>439</v>
      </c>
      <c r="F11" s="4" t="s">
        <v>440</v>
      </c>
      <c r="I11" s="4" t="s">
        <v>440</v>
      </c>
      <c r="J11" s="31"/>
      <c r="K11" s="4">
        <v>1</v>
      </c>
      <c r="L11" s="4">
        <v>2</v>
      </c>
    </row>
    <row r="12" spans="2:61" x14ac:dyDescent="0.2">
      <c r="C12" s="53" t="s">
        <v>441</v>
      </c>
      <c r="D12" s="31" t="str">
        <f>C12</f>
        <v>180 kw FWA</v>
      </c>
      <c r="E12" s="31" t="str">
        <f>C12</f>
        <v>180 kw FWA</v>
      </c>
      <c r="F12" s="53" t="s">
        <v>732</v>
      </c>
      <c r="G12" s="31" t="str">
        <f>F12</f>
        <v>D&amp;G</v>
      </c>
      <c r="H12" s="31" t="str">
        <f>G12</f>
        <v>D&amp;G</v>
      </c>
      <c r="I12" s="53" t="s">
        <v>436</v>
      </c>
      <c r="J12" s="31" t="str">
        <f>I12</f>
        <v>77kw 2wd</v>
      </c>
      <c r="K12" s="33" t="s">
        <v>348</v>
      </c>
      <c r="L12" s="33" t="s">
        <v>349</v>
      </c>
    </row>
    <row r="13" spans="2:61" x14ac:dyDescent="0.2">
      <c r="B13" s="24" t="s">
        <v>350</v>
      </c>
      <c r="C13" s="4">
        <v>1</v>
      </c>
      <c r="D13" s="4">
        <v>2</v>
      </c>
      <c r="E13" s="4">
        <v>3</v>
      </c>
      <c r="F13" s="4">
        <v>4</v>
      </c>
      <c r="G13" s="4">
        <v>5</v>
      </c>
      <c r="H13" s="4">
        <v>6</v>
      </c>
      <c r="I13" s="4">
        <v>7</v>
      </c>
      <c r="J13" s="4">
        <v>8</v>
      </c>
    </row>
    <row r="14" spans="2:61" x14ac:dyDescent="0.2">
      <c r="C14" s="31" t="s">
        <v>351</v>
      </c>
      <c r="D14" s="31" t="s">
        <v>352</v>
      </c>
      <c r="E14" s="31" t="s">
        <v>353</v>
      </c>
      <c r="F14" s="31" t="s">
        <v>351</v>
      </c>
      <c r="G14" s="31" t="s">
        <v>352</v>
      </c>
      <c r="H14" s="31" t="s">
        <v>353</v>
      </c>
      <c r="I14" s="31" t="s">
        <v>351</v>
      </c>
      <c r="J14" s="31" t="s">
        <v>352</v>
      </c>
    </row>
    <row r="15" spans="2:61" x14ac:dyDescent="0.2">
      <c r="B15" s="34" t="s">
        <v>972</v>
      </c>
      <c r="C15" s="11" t="str">
        <f>C12</f>
        <v>180 kw FWA</v>
      </c>
      <c r="D15" s="11" t="str">
        <f t="shared" ref="D15:J15" si="0">D12</f>
        <v>180 kw FWA</v>
      </c>
      <c r="E15" s="11" t="str">
        <f t="shared" si="0"/>
        <v>180 kw FWA</v>
      </c>
      <c r="F15" s="11" t="str">
        <f t="shared" si="0"/>
        <v>D&amp;G</v>
      </c>
      <c r="G15" s="11" t="str">
        <f t="shared" si="0"/>
        <v>D&amp;G</v>
      </c>
      <c r="H15" s="11" t="str">
        <f t="shared" si="0"/>
        <v>D&amp;G</v>
      </c>
      <c r="I15" s="11" t="str">
        <f t="shared" si="0"/>
        <v>77kw 2wd</v>
      </c>
      <c r="J15" s="11" t="str">
        <f t="shared" si="0"/>
        <v>77kw 2wd</v>
      </c>
      <c r="K15" s="11"/>
      <c r="L15" s="11"/>
    </row>
    <row r="16" spans="2:61" x14ac:dyDescent="0.2">
      <c r="B16" s="34" t="s">
        <v>973</v>
      </c>
      <c r="C16" s="4" t="s">
        <v>974</v>
      </c>
      <c r="D16" s="4" t="s">
        <v>974</v>
      </c>
      <c r="E16" s="4" t="s">
        <v>974</v>
      </c>
      <c r="F16" s="4" t="s">
        <v>974</v>
      </c>
      <c r="G16" s="4" t="s">
        <v>974</v>
      </c>
      <c r="H16" s="4" t="s">
        <v>974</v>
      </c>
      <c r="I16" s="4" t="s">
        <v>974</v>
      </c>
      <c r="J16" s="4" t="s">
        <v>974</v>
      </c>
      <c r="K16" s="4" t="s">
        <v>974</v>
      </c>
      <c r="L16" s="4" t="s">
        <v>974</v>
      </c>
    </row>
    <row r="17" spans="2:12" x14ac:dyDescent="0.2">
      <c r="B17" s="34" t="s">
        <v>782</v>
      </c>
      <c r="C17" s="53">
        <v>60</v>
      </c>
      <c r="D17" s="53">
        <v>45</v>
      </c>
      <c r="E17" s="53">
        <v>25</v>
      </c>
      <c r="F17" s="53">
        <v>45</v>
      </c>
      <c r="G17" s="53"/>
      <c r="H17" s="53"/>
      <c r="I17" s="53">
        <v>20</v>
      </c>
      <c r="J17" s="53"/>
      <c r="K17" s="53">
        <v>50</v>
      </c>
      <c r="L17" s="32"/>
    </row>
    <row r="18" spans="2:12" x14ac:dyDescent="0.2">
      <c r="B18" s="34" t="s">
        <v>354</v>
      </c>
      <c r="C18" s="54">
        <v>170000</v>
      </c>
      <c r="D18" s="36">
        <f>C18</f>
        <v>170000</v>
      </c>
      <c r="E18" s="36">
        <f>D18</f>
        <v>170000</v>
      </c>
      <c r="F18" s="54">
        <v>120000</v>
      </c>
      <c r="G18" s="36">
        <f t="shared" ref="G18:H22" si="1">F18</f>
        <v>120000</v>
      </c>
      <c r="H18" s="36">
        <f t="shared" si="1"/>
        <v>120000</v>
      </c>
      <c r="I18" s="54">
        <v>80000</v>
      </c>
      <c r="J18" s="36">
        <f>I18</f>
        <v>80000</v>
      </c>
      <c r="K18" s="35">
        <v>250000</v>
      </c>
      <c r="L18" s="35"/>
    </row>
    <row r="19" spans="2:12" x14ac:dyDescent="0.2">
      <c r="B19" s="34" t="s">
        <v>599</v>
      </c>
      <c r="C19" s="55">
        <v>0.35</v>
      </c>
      <c r="D19" s="38">
        <f t="shared" ref="D19:E22" si="2">C19</f>
        <v>0.35</v>
      </c>
      <c r="E19" s="38">
        <f t="shared" si="2"/>
        <v>0.35</v>
      </c>
      <c r="F19" s="55">
        <v>0.3</v>
      </c>
      <c r="G19" s="39">
        <f t="shared" si="1"/>
        <v>0.3</v>
      </c>
      <c r="H19" s="39">
        <f t="shared" si="1"/>
        <v>0.3</v>
      </c>
      <c r="I19" s="55">
        <v>0.3</v>
      </c>
      <c r="J19" s="39">
        <f>I19</f>
        <v>0.3</v>
      </c>
      <c r="K19" s="37">
        <v>0.5</v>
      </c>
      <c r="L19" s="37"/>
    </row>
    <row r="20" spans="2:12" x14ac:dyDescent="0.2">
      <c r="B20" s="34" t="s">
        <v>975</v>
      </c>
      <c r="C20" s="56">
        <v>5000</v>
      </c>
      <c r="D20" s="41">
        <f t="shared" si="2"/>
        <v>5000</v>
      </c>
      <c r="E20" s="41">
        <f t="shared" si="2"/>
        <v>5000</v>
      </c>
      <c r="F20" s="56">
        <v>5000</v>
      </c>
      <c r="G20" s="41">
        <f t="shared" si="1"/>
        <v>5000</v>
      </c>
      <c r="H20" s="41">
        <f t="shared" si="1"/>
        <v>5000</v>
      </c>
      <c r="I20" s="56">
        <v>5000</v>
      </c>
      <c r="J20" s="41">
        <f>I20</f>
        <v>5000</v>
      </c>
      <c r="K20" s="40">
        <v>5000</v>
      </c>
      <c r="L20" s="40"/>
    </row>
    <row r="21" spans="2:12" x14ac:dyDescent="0.2">
      <c r="B21" s="34" t="s">
        <v>600</v>
      </c>
      <c r="C21" s="55">
        <v>0.4</v>
      </c>
      <c r="D21" s="38">
        <f t="shared" si="2"/>
        <v>0.4</v>
      </c>
      <c r="E21" s="38">
        <f t="shared" si="2"/>
        <v>0.4</v>
      </c>
      <c r="F21" s="55">
        <v>0.4</v>
      </c>
      <c r="G21" s="38">
        <f t="shared" si="1"/>
        <v>0.4</v>
      </c>
      <c r="H21" s="38">
        <f t="shared" si="1"/>
        <v>0.4</v>
      </c>
      <c r="I21" s="55">
        <v>0.25</v>
      </c>
      <c r="J21" s="38">
        <f>I21</f>
        <v>0.25</v>
      </c>
      <c r="K21" s="37">
        <v>0.25</v>
      </c>
      <c r="L21" s="37"/>
    </row>
    <row r="22" spans="2:12" x14ac:dyDescent="0.2">
      <c r="B22" s="34" t="s">
        <v>601</v>
      </c>
      <c r="C22" s="53">
        <v>300</v>
      </c>
      <c r="D22" s="42">
        <f t="shared" si="2"/>
        <v>300</v>
      </c>
      <c r="E22" s="42">
        <f t="shared" si="2"/>
        <v>300</v>
      </c>
      <c r="F22" s="53">
        <v>250</v>
      </c>
      <c r="G22" s="42">
        <f t="shared" si="1"/>
        <v>250</v>
      </c>
      <c r="H22" s="42">
        <f t="shared" si="1"/>
        <v>250</v>
      </c>
      <c r="I22" s="53">
        <v>250</v>
      </c>
      <c r="J22" s="42">
        <f>I22</f>
        <v>250</v>
      </c>
      <c r="K22" s="32">
        <v>250</v>
      </c>
      <c r="L22" s="32"/>
    </row>
    <row r="23" spans="2:12" x14ac:dyDescent="0.2">
      <c r="B23" s="34" t="s">
        <v>977</v>
      </c>
      <c r="C23" s="43">
        <f t="shared" ref="C23:L23" si="3">$C$6</f>
        <v>25</v>
      </c>
      <c r="D23" s="43">
        <f t="shared" si="3"/>
        <v>25</v>
      </c>
      <c r="E23" s="43">
        <f t="shared" si="3"/>
        <v>25</v>
      </c>
      <c r="F23" s="43">
        <f t="shared" si="3"/>
        <v>25</v>
      </c>
      <c r="G23" s="43">
        <f t="shared" si="3"/>
        <v>25</v>
      </c>
      <c r="H23" s="43">
        <f t="shared" si="3"/>
        <v>25</v>
      </c>
      <c r="I23" s="43">
        <f t="shared" si="3"/>
        <v>25</v>
      </c>
      <c r="J23" s="43">
        <f t="shared" si="3"/>
        <v>25</v>
      </c>
      <c r="K23" s="43">
        <f t="shared" si="3"/>
        <v>25</v>
      </c>
      <c r="L23" s="43">
        <f t="shared" si="3"/>
        <v>25</v>
      </c>
    </row>
    <row r="24" spans="2:12" x14ac:dyDescent="0.2">
      <c r="B24" s="34" t="s">
        <v>783</v>
      </c>
      <c r="K24" s="44">
        <v>5</v>
      </c>
      <c r="L24" s="44"/>
    </row>
    <row r="26" spans="2:12" x14ac:dyDescent="0.2">
      <c r="B26" s="34" t="s">
        <v>978</v>
      </c>
    </row>
    <row r="27" spans="2:12" x14ac:dyDescent="0.2">
      <c r="B27" s="128" t="s">
        <v>979</v>
      </c>
      <c r="C27" s="130">
        <f>C17*C5+C17*0.1*C5</f>
        <v>66</v>
      </c>
      <c r="D27" s="131">
        <f t="shared" ref="D27:K27" si="4">D17*$C$5*1.1</f>
        <v>49.500000000000007</v>
      </c>
      <c r="E27" s="132">
        <f t="shared" si="4"/>
        <v>27.500000000000004</v>
      </c>
      <c r="F27" s="130">
        <f t="shared" si="4"/>
        <v>49.500000000000007</v>
      </c>
      <c r="G27" s="131">
        <f t="shared" si="4"/>
        <v>0</v>
      </c>
      <c r="H27" s="132">
        <f t="shared" si="4"/>
        <v>0</v>
      </c>
      <c r="I27" s="130">
        <f t="shared" si="4"/>
        <v>22</v>
      </c>
      <c r="J27" s="132">
        <f t="shared" si="4"/>
        <v>0</v>
      </c>
      <c r="K27" s="130">
        <f t="shared" si="4"/>
        <v>55.000000000000007</v>
      </c>
      <c r="L27" s="132">
        <f>L17*$C$5*1.1</f>
        <v>0</v>
      </c>
    </row>
    <row r="28" spans="2:12" x14ac:dyDescent="0.2">
      <c r="B28" s="34" t="s">
        <v>980</v>
      </c>
      <c r="C28" s="135">
        <f t="shared" ref="C28:L28" si="5">C18*C19/C20</f>
        <v>11.899999999999999</v>
      </c>
      <c r="D28" s="45">
        <f t="shared" si="5"/>
        <v>11.899999999999999</v>
      </c>
      <c r="E28" s="136">
        <f t="shared" si="5"/>
        <v>11.899999999999999</v>
      </c>
      <c r="F28" s="135">
        <f t="shared" si="5"/>
        <v>7.2</v>
      </c>
      <c r="G28" s="45">
        <f t="shared" si="5"/>
        <v>7.2</v>
      </c>
      <c r="H28" s="136">
        <f t="shared" si="5"/>
        <v>7.2</v>
      </c>
      <c r="I28" s="135">
        <f t="shared" si="5"/>
        <v>4.8</v>
      </c>
      <c r="J28" s="136">
        <f t="shared" si="5"/>
        <v>4.8</v>
      </c>
      <c r="K28" s="135">
        <f t="shared" si="5"/>
        <v>25</v>
      </c>
      <c r="L28" s="136" t="e">
        <f t="shared" si="5"/>
        <v>#DIV/0!</v>
      </c>
    </row>
    <row r="29" spans="2:12" x14ac:dyDescent="0.2">
      <c r="B29" s="34" t="s">
        <v>981</v>
      </c>
      <c r="C29" s="135">
        <f t="shared" ref="C29:L29" si="6">(C18-(C18*C21))/C20</f>
        <v>20.399999999999999</v>
      </c>
      <c r="D29" s="45">
        <f t="shared" si="6"/>
        <v>20.399999999999999</v>
      </c>
      <c r="E29" s="136">
        <f t="shared" si="6"/>
        <v>20.399999999999999</v>
      </c>
      <c r="F29" s="135">
        <f t="shared" si="6"/>
        <v>14.4</v>
      </c>
      <c r="G29" s="45">
        <f t="shared" si="6"/>
        <v>14.4</v>
      </c>
      <c r="H29" s="136">
        <f t="shared" si="6"/>
        <v>14.4</v>
      </c>
      <c r="I29" s="135">
        <f t="shared" si="6"/>
        <v>12</v>
      </c>
      <c r="J29" s="136">
        <f t="shared" si="6"/>
        <v>12</v>
      </c>
      <c r="K29" s="135">
        <f t="shared" si="6"/>
        <v>37.5</v>
      </c>
      <c r="L29" s="136" t="e">
        <f t="shared" si="6"/>
        <v>#DIV/0!</v>
      </c>
    </row>
    <row r="30" spans="2:12" x14ac:dyDescent="0.2">
      <c r="B30" s="34" t="s">
        <v>982</v>
      </c>
      <c r="C30" s="135">
        <f t="shared" ref="C30:L30" si="7">((C18+(C18*C21))/2)/C22*($C$7-$C$8)</f>
        <v>19.833333333333336</v>
      </c>
      <c r="D30" s="45">
        <f t="shared" si="7"/>
        <v>19.833333333333336</v>
      </c>
      <c r="E30" s="136">
        <f t="shared" si="7"/>
        <v>19.833333333333336</v>
      </c>
      <c r="F30" s="135">
        <f t="shared" si="7"/>
        <v>16.8</v>
      </c>
      <c r="G30" s="45">
        <f t="shared" si="7"/>
        <v>16.8</v>
      </c>
      <c r="H30" s="136">
        <f t="shared" si="7"/>
        <v>16.8</v>
      </c>
      <c r="I30" s="135">
        <f t="shared" si="7"/>
        <v>10</v>
      </c>
      <c r="J30" s="136">
        <f t="shared" si="7"/>
        <v>10</v>
      </c>
      <c r="K30" s="135">
        <f t="shared" si="7"/>
        <v>31.25</v>
      </c>
      <c r="L30" s="136" t="e">
        <f t="shared" si="7"/>
        <v>#DIV/0!</v>
      </c>
    </row>
    <row r="31" spans="2:12" x14ac:dyDescent="0.2">
      <c r="B31" s="34" t="s">
        <v>983</v>
      </c>
      <c r="C31" s="135">
        <f>0.005*C18/C22</f>
        <v>2.8333333333333335</v>
      </c>
      <c r="D31" s="45">
        <f t="shared" ref="D31:K31" si="8">0.005*D18/D22</f>
        <v>2.8333333333333335</v>
      </c>
      <c r="E31" s="136">
        <f t="shared" si="8"/>
        <v>2.8333333333333335</v>
      </c>
      <c r="F31" s="135">
        <f t="shared" si="8"/>
        <v>2.4</v>
      </c>
      <c r="G31" s="45">
        <f t="shared" si="8"/>
        <v>2.4</v>
      </c>
      <c r="H31" s="136">
        <f t="shared" si="8"/>
        <v>2.4</v>
      </c>
      <c r="I31" s="135">
        <f t="shared" si="8"/>
        <v>1.6</v>
      </c>
      <c r="J31" s="136">
        <f t="shared" si="8"/>
        <v>1.6</v>
      </c>
      <c r="K31" s="135">
        <f t="shared" si="8"/>
        <v>5</v>
      </c>
      <c r="L31" s="136" t="e">
        <f>0.005*L18/L22</f>
        <v>#DIV/0!</v>
      </c>
    </row>
    <row r="32" spans="2:12" x14ac:dyDescent="0.2">
      <c r="B32" s="34" t="s">
        <v>984</v>
      </c>
      <c r="C32" s="135">
        <f t="shared" ref="C32:L32" si="9">C18*$C$9/1000/C22</f>
        <v>5.666666666666667</v>
      </c>
      <c r="D32" s="45">
        <f t="shared" si="9"/>
        <v>5.666666666666667</v>
      </c>
      <c r="E32" s="136">
        <f t="shared" si="9"/>
        <v>5.666666666666667</v>
      </c>
      <c r="F32" s="135">
        <f t="shared" si="9"/>
        <v>4.8</v>
      </c>
      <c r="G32" s="45">
        <f t="shared" si="9"/>
        <v>4.8</v>
      </c>
      <c r="H32" s="136">
        <f t="shared" si="9"/>
        <v>4.8</v>
      </c>
      <c r="I32" s="135">
        <f t="shared" si="9"/>
        <v>3.2</v>
      </c>
      <c r="J32" s="136">
        <f t="shared" si="9"/>
        <v>3.2</v>
      </c>
      <c r="K32" s="135">
        <f t="shared" si="9"/>
        <v>10</v>
      </c>
      <c r="L32" s="136" t="e">
        <f t="shared" si="9"/>
        <v>#DIV/0!</v>
      </c>
    </row>
    <row r="33" spans="2:30" x14ac:dyDescent="0.2">
      <c r="B33" s="129" t="s">
        <v>985</v>
      </c>
      <c r="C33" s="137">
        <f t="shared" ref="C33:K33" si="10">C23</f>
        <v>25</v>
      </c>
      <c r="D33" s="138">
        <f t="shared" si="10"/>
        <v>25</v>
      </c>
      <c r="E33" s="139">
        <f t="shared" si="10"/>
        <v>25</v>
      </c>
      <c r="F33" s="137">
        <f t="shared" si="10"/>
        <v>25</v>
      </c>
      <c r="G33" s="138">
        <f t="shared" si="10"/>
        <v>25</v>
      </c>
      <c r="H33" s="139">
        <f t="shared" si="10"/>
        <v>25</v>
      </c>
      <c r="I33" s="137">
        <f t="shared" si="10"/>
        <v>25</v>
      </c>
      <c r="J33" s="139">
        <f t="shared" si="10"/>
        <v>25</v>
      </c>
      <c r="K33" s="137">
        <f t="shared" si="10"/>
        <v>25</v>
      </c>
      <c r="L33" s="139">
        <f>L23</f>
        <v>25</v>
      </c>
    </row>
    <row r="34" spans="2:30" x14ac:dyDescent="0.2">
      <c r="B34" s="34" t="s">
        <v>987</v>
      </c>
      <c r="C34" s="143"/>
      <c r="D34" s="141"/>
      <c r="E34" s="145"/>
      <c r="F34" s="143"/>
      <c r="G34" s="141"/>
      <c r="H34" s="145"/>
      <c r="I34" s="143"/>
      <c r="J34" s="145"/>
      <c r="K34" s="143"/>
      <c r="L34" s="145"/>
    </row>
    <row r="35" spans="2:30" ht="15" x14ac:dyDescent="0.2">
      <c r="B35" s="124" t="s">
        <v>602</v>
      </c>
      <c r="C35" s="135">
        <f t="shared" ref="C35:K35" si="11">C27+C28</f>
        <v>77.900000000000006</v>
      </c>
      <c r="D35" s="45">
        <f t="shared" si="11"/>
        <v>61.400000000000006</v>
      </c>
      <c r="E35" s="136">
        <f t="shared" si="11"/>
        <v>39.400000000000006</v>
      </c>
      <c r="F35" s="135">
        <f t="shared" si="11"/>
        <v>56.70000000000001</v>
      </c>
      <c r="G35" s="45">
        <f t="shared" si="11"/>
        <v>7.2</v>
      </c>
      <c r="H35" s="136">
        <f t="shared" si="11"/>
        <v>7.2</v>
      </c>
      <c r="I35" s="135">
        <f t="shared" si="11"/>
        <v>26.8</v>
      </c>
      <c r="J35" s="136">
        <f t="shared" si="11"/>
        <v>4.8</v>
      </c>
      <c r="K35" s="135">
        <f t="shared" si="11"/>
        <v>80</v>
      </c>
      <c r="L35" s="136" t="e">
        <f>L27+L28</f>
        <v>#DIV/0!</v>
      </c>
    </row>
    <row r="36" spans="2:30" ht="15.75" thickBot="1" x14ac:dyDescent="0.25">
      <c r="B36" s="140" t="s">
        <v>603</v>
      </c>
      <c r="C36" s="144">
        <f t="shared" ref="C36:L36" si="12">SUM(C27:C33)</f>
        <v>151.63333333333335</v>
      </c>
      <c r="D36" s="142">
        <f t="shared" si="12"/>
        <v>135.13333333333335</v>
      </c>
      <c r="E36" s="146">
        <f t="shared" si="12"/>
        <v>113.13333333333334</v>
      </c>
      <c r="F36" s="144">
        <f t="shared" si="12"/>
        <v>120.10000000000001</v>
      </c>
      <c r="G36" s="142">
        <f t="shared" si="12"/>
        <v>70.599999999999994</v>
      </c>
      <c r="H36" s="146">
        <f t="shared" si="12"/>
        <v>70.599999999999994</v>
      </c>
      <c r="I36" s="144">
        <f t="shared" si="12"/>
        <v>78.599999999999994</v>
      </c>
      <c r="J36" s="146">
        <f t="shared" si="12"/>
        <v>56.6</v>
      </c>
      <c r="K36" s="144">
        <f t="shared" si="12"/>
        <v>188.75</v>
      </c>
      <c r="L36" s="146" t="e">
        <f t="shared" si="12"/>
        <v>#DIV/0!</v>
      </c>
    </row>
    <row r="37" spans="2:30" s="126" customFormat="1" ht="13.5" thickTop="1" x14ac:dyDescent="0.2">
      <c r="M37" s="4"/>
      <c r="N37" s="4"/>
      <c r="O37" s="4"/>
      <c r="P37" s="4"/>
      <c r="Q37" s="4"/>
      <c r="R37" s="4"/>
      <c r="S37" s="4"/>
      <c r="T37" s="4"/>
      <c r="U37" s="4"/>
      <c r="V37" s="4"/>
      <c r="W37" s="4"/>
      <c r="X37" s="4"/>
      <c r="Y37" s="4"/>
      <c r="Z37" s="4"/>
      <c r="AA37" s="4"/>
    </row>
    <row r="38" spans="2:30" x14ac:dyDescent="0.2">
      <c r="B38" s="34"/>
    </row>
    <row r="39" spans="2:30" ht="15.75" x14ac:dyDescent="0.25">
      <c r="B39" s="147" t="s">
        <v>604</v>
      </c>
    </row>
    <row r="40" spans="2:30" x14ac:dyDescent="0.2">
      <c r="B40" s="34" t="s">
        <v>784</v>
      </c>
      <c r="K40" s="46">
        <f>K24</f>
        <v>5</v>
      </c>
      <c r="L40" s="46">
        <f>L24</f>
        <v>0</v>
      </c>
    </row>
    <row r="41" spans="2:30" x14ac:dyDescent="0.2">
      <c r="B41" s="34" t="s">
        <v>989</v>
      </c>
      <c r="K41" s="47">
        <f>K27/K40</f>
        <v>11.000000000000002</v>
      </c>
      <c r="L41" s="47" t="e">
        <f>L27/L40</f>
        <v>#DIV/0!</v>
      </c>
      <c r="AB41" s="48"/>
      <c r="AC41" s="48"/>
      <c r="AD41" s="48"/>
    </row>
    <row r="42" spans="2:30" x14ac:dyDescent="0.2">
      <c r="B42" s="34" t="s">
        <v>990</v>
      </c>
      <c r="K42" s="47">
        <f>K28/K40</f>
        <v>5</v>
      </c>
      <c r="L42" s="47" t="e">
        <f>L28/L40</f>
        <v>#DIV/0!</v>
      </c>
      <c r="AB42" s="48"/>
      <c r="AC42" s="48"/>
    </row>
    <row r="43" spans="2:30" ht="13.5" thickBot="1" x14ac:dyDescent="0.25">
      <c r="B43" s="4" t="s">
        <v>991</v>
      </c>
      <c r="K43" s="49">
        <f>SUM(K41:K42)</f>
        <v>16</v>
      </c>
      <c r="L43" s="49" t="e">
        <f>SUM(L41:L42)</f>
        <v>#DIV/0!</v>
      </c>
    </row>
    <row r="44" spans="2:30" s="126" customFormat="1" ht="13.5" thickTop="1" x14ac:dyDescent="0.2">
      <c r="B44" s="127" t="s">
        <v>636</v>
      </c>
      <c r="K44" s="177">
        <f>(K36+(K36*$C$89))/K40</f>
        <v>45.3</v>
      </c>
      <c r="L44" s="177" t="e">
        <f>(L36+(L36*$C$89))/L40</f>
        <v>#DIV/0!</v>
      </c>
    </row>
    <row r="45" spans="2:30" x14ac:dyDescent="0.2">
      <c r="B45" s="127"/>
      <c r="C45" s="50" t="s">
        <v>970</v>
      </c>
      <c r="D45" s="29"/>
      <c r="E45" s="29"/>
      <c r="F45" s="29"/>
      <c r="G45" s="29"/>
      <c r="H45" s="29"/>
      <c r="I45" s="29"/>
      <c r="J45" s="29"/>
      <c r="K45" s="29"/>
      <c r="L45" s="29"/>
      <c r="M45" s="29"/>
      <c r="N45" s="29"/>
      <c r="O45" s="29"/>
      <c r="P45" s="29"/>
      <c r="Q45" s="29"/>
    </row>
    <row r="46" spans="2:30" x14ac:dyDescent="0.2">
      <c r="B46" s="127"/>
      <c r="C46" s="51" t="s">
        <v>971</v>
      </c>
      <c r="D46" s="28"/>
      <c r="E46" s="28"/>
      <c r="F46" s="28"/>
      <c r="G46" s="28"/>
      <c r="H46" s="28"/>
      <c r="I46" s="28"/>
      <c r="J46" s="28"/>
      <c r="K46" s="28"/>
      <c r="L46" s="28"/>
      <c r="M46" s="28"/>
      <c r="N46" s="28"/>
      <c r="O46" s="28"/>
      <c r="P46" s="28"/>
      <c r="Q46" s="28"/>
    </row>
    <row r="47" spans="2:30" ht="15.75" x14ac:dyDescent="0.25">
      <c r="B47" s="13" t="s">
        <v>605</v>
      </c>
      <c r="C47" s="4">
        <v>1</v>
      </c>
      <c r="D47" s="4">
        <v>2</v>
      </c>
      <c r="E47" s="4">
        <v>3</v>
      </c>
      <c r="F47" s="4">
        <v>4</v>
      </c>
      <c r="G47" s="4">
        <v>5</v>
      </c>
      <c r="H47" s="4">
        <v>6</v>
      </c>
      <c r="I47" s="4">
        <v>7</v>
      </c>
      <c r="J47" s="4">
        <v>8</v>
      </c>
      <c r="K47" s="4">
        <v>9</v>
      </c>
      <c r="L47" s="4">
        <v>10</v>
      </c>
      <c r="M47" s="4">
        <v>11</v>
      </c>
      <c r="N47" s="4">
        <v>12</v>
      </c>
      <c r="O47" s="4">
        <v>13</v>
      </c>
      <c r="P47" s="4">
        <v>14</v>
      </c>
      <c r="Q47" s="4">
        <v>15</v>
      </c>
    </row>
    <row r="48" spans="2:30" ht="15" x14ac:dyDescent="0.2">
      <c r="B48" s="124" t="s">
        <v>606</v>
      </c>
      <c r="C48" s="53" t="s">
        <v>437</v>
      </c>
      <c r="D48" s="53" t="s">
        <v>442</v>
      </c>
      <c r="E48" s="53" t="s">
        <v>593</v>
      </c>
      <c r="F48" s="53" t="s">
        <v>591</v>
      </c>
      <c r="G48" s="53"/>
      <c r="H48" s="53" t="s">
        <v>747</v>
      </c>
      <c r="I48" s="53" t="s">
        <v>748</v>
      </c>
      <c r="J48" s="53" t="s">
        <v>733</v>
      </c>
      <c r="K48" s="53" t="s">
        <v>734</v>
      </c>
      <c r="L48" s="53" t="s">
        <v>735</v>
      </c>
      <c r="M48" s="53"/>
      <c r="N48" s="53"/>
      <c r="O48" s="53"/>
      <c r="P48" s="53"/>
      <c r="Q48" s="53"/>
    </row>
    <row r="49" spans="2:17" ht="15" x14ac:dyDescent="0.2">
      <c r="B49" s="124" t="s">
        <v>607</v>
      </c>
      <c r="C49" s="53" t="s">
        <v>438</v>
      </c>
      <c r="D49" s="53" t="s">
        <v>423</v>
      </c>
      <c r="E49" s="53" t="s">
        <v>445</v>
      </c>
      <c r="F49" s="53" t="s">
        <v>592</v>
      </c>
      <c r="G49" s="53"/>
      <c r="H49" s="53"/>
      <c r="I49" s="53"/>
      <c r="J49" s="53"/>
      <c r="K49" s="53"/>
      <c r="L49" s="53"/>
      <c r="M49" s="53"/>
      <c r="N49" s="53"/>
      <c r="O49" s="53"/>
      <c r="P49" s="53"/>
      <c r="Q49" s="53"/>
    </row>
    <row r="50" spans="2:17" ht="15" x14ac:dyDescent="0.2">
      <c r="B50" s="124"/>
      <c r="C50" s="57" t="s">
        <v>356</v>
      </c>
      <c r="D50" s="57" t="s">
        <v>356</v>
      </c>
      <c r="E50" s="57" t="s">
        <v>356</v>
      </c>
      <c r="F50" s="57" t="s">
        <v>356</v>
      </c>
      <c r="G50" s="57" t="s">
        <v>356</v>
      </c>
      <c r="H50" s="57" t="s">
        <v>356</v>
      </c>
      <c r="I50" s="57" t="s">
        <v>356</v>
      </c>
      <c r="J50" s="57" t="s">
        <v>356</v>
      </c>
      <c r="K50" s="57" t="s">
        <v>356</v>
      </c>
      <c r="L50" s="57" t="s">
        <v>356</v>
      </c>
      <c r="M50" s="57" t="s">
        <v>356</v>
      </c>
      <c r="N50" s="57" t="s">
        <v>356</v>
      </c>
      <c r="O50" s="57" t="s">
        <v>356</v>
      </c>
      <c r="P50" s="57" t="s">
        <v>356</v>
      </c>
      <c r="Q50" s="57" t="s">
        <v>356</v>
      </c>
    </row>
    <row r="51" spans="2:17" ht="15" x14ac:dyDescent="0.2">
      <c r="B51" s="124" t="s">
        <v>608</v>
      </c>
      <c r="C51" s="53">
        <v>7</v>
      </c>
      <c r="D51" s="53">
        <v>2</v>
      </c>
      <c r="E51" s="53">
        <v>3</v>
      </c>
      <c r="F51" s="53">
        <v>1</v>
      </c>
      <c r="G51" s="53">
        <v>1</v>
      </c>
      <c r="H51" s="53">
        <v>7</v>
      </c>
      <c r="I51" s="53">
        <v>7</v>
      </c>
      <c r="J51" s="53">
        <v>4</v>
      </c>
      <c r="K51" s="53">
        <v>4</v>
      </c>
      <c r="L51" s="53">
        <v>7</v>
      </c>
      <c r="M51" s="53">
        <v>4</v>
      </c>
      <c r="N51" s="53">
        <v>1</v>
      </c>
      <c r="O51" s="53">
        <v>2</v>
      </c>
      <c r="P51" s="53">
        <v>4</v>
      </c>
      <c r="Q51" s="53">
        <v>2</v>
      </c>
    </row>
    <row r="52" spans="2:17" x14ac:dyDescent="0.2">
      <c r="C52" s="58"/>
      <c r="D52" s="58"/>
      <c r="E52" s="58"/>
      <c r="F52" s="58"/>
      <c r="G52" s="58"/>
      <c r="H52" s="58"/>
      <c r="I52" s="58"/>
      <c r="J52" s="58"/>
      <c r="K52" s="58"/>
      <c r="L52" s="58"/>
      <c r="M52" s="58"/>
      <c r="N52" s="58"/>
      <c r="O52" s="58"/>
      <c r="P52" s="58"/>
      <c r="Q52" s="58"/>
    </row>
    <row r="53" spans="2:17" ht="15" x14ac:dyDescent="0.2">
      <c r="B53" s="124" t="s">
        <v>354</v>
      </c>
      <c r="C53" s="54">
        <v>45000</v>
      </c>
      <c r="D53" s="54">
        <v>150000</v>
      </c>
      <c r="E53" s="54">
        <v>5000</v>
      </c>
      <c r="F53" s="54">
        <v>15000</v>
      </c>
      <c r="G53" s="54"/>
      <c r="H53" s="54">
        <v>25000</v>
      </c>
      <c r="I53" s="54">
        <v>5000</v>
      </c>
      <c r="J53" s="54">
        <v>100000</v>
      </c>
      <c r="K53" s="54">
        <v>60000</v>
      </c>
      <c r="L53" s="54">
        <v>100000</v>
      </c>
      <c r="M53" s="54"/>
      <c r="N53" s="54"/>
      <c r="O53" s="54"/>
      <c r="P53" s="54"/>
      <c r="Q53" s="54"/>
    </row>
    <row r="54" spans="2:17" ht="15" x14ac:dyDescent="0.2">
      <c r="B54" s="124" t="s">
        <v>609</v>
      </c>
      <c r="C54" s="55">
        <v>0.25</v>
      </c>
      <c r="D54" s="55">
        <v>0.2</v>
      </c>
      <c r="E54" s="55">
        <v>0.25</v>
      </c>
      <c r="F54" s="55">
        <v>0.5</v>
      </c>
      <c r="G54" s="55"/>
      <c r="H54" s="55">
        <v>0.25</v>
      </c>
      <c r="I54" s="55">
        <v>0.25</v>
      </c>
      <c r="J54" s="55">
        <v>0.25</v>
      </c>
      <c r="K54" s="55">
        <v>0.25</v>
      </c>
      <c r="L54" s="55">
        <v>0.5</v>
      </c>
      <c r="M54" s="55"/>
      <c r="N54" s="55"/>
      <c r="O54" s="55"/>
      <c r="P54" s="55"/>
      <c r="Q54" s="55"/>
    </row>
    <row r="55" spans="2:17" ht="15" x14ac:dyDescent="0.2">
      <c r="B55" s="124" t="s">
        <v>975</v>
      </c>
      <c r="C55" s="56">
        <v>2000</v>
      </c>
      <c r="D55" s="56">
        <v>2500</v>
      </c>
      <c r="E55" s="56">
        <v>2500</v>
      </c>
      <c r="F55" s="56">
        <v>2500</v>
      </c>
      <c r="G55" s="56"/>
      <c r="H55" s="56">
        <v>5000</v>
      </c>
      <c r="I55" s="56">
        <v>1000</v>
      </c>
      <c r="J55" s="56">
        <v>2000</v>
      </c>
      <c r="K55" s="56">
        <v>2500</v>
      </c>
      <c r="L55" s="56">
        <v>2000</v>
      </c>
      <c r="M55" s="56"/>
      <c r="N55" s="56"/>
      <c r="O55" s="56"/>
      <c r="P55" s="56"/>
      <c r="Q55" s="56"/>
    </row>
    <row r="56" spans="2:17" ht="15" x14ac:dyDescent="0.2">
      <c r="B56" s="124" t="s">
        <v>785</v>
      </c>
      <c r="C56" s="55">
        <v>0.15</v>
      </c>
      <c r="D56" s="55">
        <v>0.25</v>
      </c>
      <c r="E56" s="55">
        <v>0.2</v>
      </c>
      <c r="F56" s="55">
        <v>0.2</v>
      </c>
      <c r="G56" s="55"/>
      <c r="H56" s="55">
        <v>0.1</v>
      </c>
      <c r="I56" s="55">
        <v>0.1</v>
      </c>
      <c r="J56" s="55">
        <v>0.15</v>
      </c>
      <c r="K56" s="55">
        <v>0.25</v>
      </c>
      <c r="L56" s="55">
        <v>0.25</v>
      </c>
      <c r="M56" s="55"/>
      <c r="N56" s="55"/>
      <c r="O56" s="55"/>
      <c r="P56" s="55"/>
      <c r="Q56" s="55"/>
    </row>
    <row r="57" spans="2:17" ht="15" x14ac:dyDescent="0.2">
      <c r="B57" s="124" t="s">
        <v>976</v>
      </c>
      <c r="C57" s="53">
        <v>150</v>
      </c>
      <c r="D57" s="53">
        <v>250</v>
      </c>
      <c r="E57" s="53">
        <v>100</v>
      </c>
      <c r="F57" s="53">
        <v>100</v>
      </c>
      <c r="G57" s="53"/>
      <c r="H57" s="53">
        <v>100</v>
      </c>
      <c r="I57" s="53">
        <v>20</v>
      </c>
      <c r="J57" s="53">
        <v>200</v>
      </c>
      <c r="K57" s="53">
        <v>250</v>
      </c>
      <c r="L57" s="53">
        <v>200</v>
      </c>
      <c r="M57" s="53"/>
      <c r="N57" s="53"/>
      <c r="O57" s="53"/>
      <c r="P57" s="53"/>
      <c r="Q57" s="53"/>
    </row>
    <row r="58" spans="2:17" ht="15" x14ac:dyDescent="0.2">
      <c r="B58" s="124" t="s">
        <v>786</v>
      </c>
      <c r="C58" s="59">
        <v>17</v>
      </c>
      <c r="D58" s="59">
        <v>8</v>
      </c>
      <c r="E58" s="59">
        <v>4</v>
      </c>
      <c r="F58" s="59">
        <v>3.5</v>
      </c>
      <c r="G58" s="59"/>
      <c r="H58" s="59">
        <v>5.5</v>
      </c>
      <c r="I58" s="59">
        <v>10</v>
      </c>
      <c r="J58" s="59">
        <v>8</v>
      </c>
      <c r="K58" s="59">
        <v>8</v>
      </c>
      <c r="L58" s="59">
        <v>30</v>
      </c>
      <c r="M58" s="59"/>
      <c r="N58" s="59"/>
      <c r="O58" s="59"/>
      <c r="P58" s="59"/>
      <c r="Q58" s="59"/>
    </row>
    <row r="60" spans="2:17" x14ac:dyDescent="0.2">
      <c r="B60" s="34" t="s">
        <v>978</v>
      </c>
    </row>
    <row r="61" spans="2:17" x14ac:dyDescent="0.2">
      <c r="B61" s="148" t="s">
        <v>980</v>
      </c>
      <c r="C61" s="131">
        <f t="shared" ref="C61:Q61" si="13">C53*C54/C55</f>
        <v>5.625</v>
      </c>
      <c r="D61" s="131">
        <f t="shared" si="13"/>
        <v>12</v>
      </c>
      <c r="E61" s="131">
        <f t="shared" si="13"/>
        <v>0.5</v>
      </c>
      <c r="F61" s="131">
        <f t="shared" si="13"/>
        <v>3</v>
      </c>
      <c r="G61" s="131" t="e">
        <f t="shared" si="13"/>
        <v>#DIV/0!</v>
      </c>
      <c r="H61" s="131">
        <f t="shared" si="13"/>
        <v>1.25</v>
      </c>
      <c r="I61" s="131">
        <f t="shared" si="13"/>
        <v>1.25</v>
      </c>
      <c r="J61" s="131">
        <f t="shared" si="13"/>
        <v>12.5</v>
      </c>
      <c r="K61" s="131">
        <f t="shared" si="13"/>
        <v>6</v>
      </c>
      <c r="L61" s="131">
        <f t="shared" si="13"/>
        <v>25</v>
      </c>
      <c r="M61" s="131" t="e">
        <f t="shared" si="13"/>
        <v>#DIV/0!</v>
      </c>
      <c r="N61" s="131" t="e">
        <f t="shared" si="13"/>
        <v>#DIV/0!</v>
      </c>
      <c r="O61" s="131" t="e">
        <f t="shared" si="13"/>
        <v>#DIV/0!</v>
      </c>
      <c r="P61" s="131" t="e">
        <f t="shared" si="13"/>
        <v>#DIV/0!</v>
      </c>
      <c r="Q61" s="132" t="e">
        <f t="shared" si="13"/>
        <v>#DIV/0!</v>
      </c>
    </row>
    <row r="62" spans="2:17" x14ac:dyDescent="0.2">
      <c r="B62" s="149" t="s">
        <v>981</v>
      </c>
      <c r="C62" s="45">
        <f t="shared" ref="C62:Q62" si="14">(C53-(C53*C56))/C55</f>
        <v>19.125</v>
      </c>
      <c r="D62" s="45">
        <f t="shared" si="14"/>
        <v>45</v>
      </c>
      <c r="E62" s="45">
        <f t="shared" si="14"/>
        <v>1.6</v>
      </c>
      <c r="F62" s="45">
        <f t="shared" si="14"/>
        <v>4.8</v>
      </c>
      <c r="G62" s="45" t="e">
        <f t="shared" si="14"/>
        <v>#DIV/0!</v>
      </c>
      <c r="H62" s="45">
        <f t="shared" si="14"/>
        <v>4.5</v>
      </c>
      <c r="I62" s="45">
        <f t="shared" si="14"/>
        <v>4.5</v>
      </c>
      <c r="J62" s="45">
        <f t="shared" si="14"/>
        <v>42.5</v>
      </c>
      <c r="K62" s="45">
        <f t="shared" si="14"/>
        <v>18</v>
      </c>
      <c r="L62" s="45">
        <f t="shared" si="14"/>
        <v>37.5</v>
      </c>
      <c r="M62" s="45" t="e">
        <f t="shared" si="14"/>
        <v>#DIV/0!</v>
      </c>
      <c r="N62" s="45" t="e">
        <f t="shared" si="14"/>
        <v>#DIV/0!</v>
      </c>
      <c r="O62" s="45" t="e">
        <f t="shared" si="14"/>
        <v>#DIV/0!</v>
      </c>
      <c r="P62" s="45" t="e">
        <f t="shared" si="14"/>
        <v>#DIV/0!</v>
      </c>
      <c r="Q62" s="136" t="e">
        <f t="shared" si="14"/>
        <v>#DIV/0!</v>
      </c>
    </row>
    <row r="63" spans="2:17" x14ac:dyDescent="0.2">
      <c r="B63" s="149" t="s">
        <v>982</v>
      </c>
      <c r="C63" s="45">
        <f t="shared" ref="C63:Q63" si="15">((C53+(C53*C56))/2)/C57*($C$7-$C$8)</f>
        <v>8.625</v>
      </c>
      <c r="D63" s="45">
        <f t="shared" si="15"/>
        <v>18.75</v>
      </c>
      <c r="E63" s="45">
        <f t="shared" si="15"/>
        <v>1.5</v>
      </c>
      <c r="F63" s="45">
        <f>((F53+(F53*F56))/2)/F57*($C$7-$C$8)</f>
        <v>4.5</v>
      </c>
      <c r="G63" s="45" t="e">
        <f t="shared" si="15"/>
        <v>#DIV/0!</v>
      </c>
      <c r="H63" s="45">
        <f t="shared" si="15"/>
        <v>6.875</v>
      </c>
      <c r="I63" s="45">
        <f t="shared" si="15"/>
        <v>6.875</v>
      </c>
      <c r="J63" s="45">
        <f t="shared" si="15"/>
        <v>14.375</v>
      </c>
      <c r="K63" s="45">
        <f t="shared" si="15"/>
        <v>7.5</v>
      </c>
      <c r="L63" s="45">
        <f t="shared" si="15"/>
        <v>15.625</v>
      </c>
      <c r="M63" s="45" t="e">
        <f t="shared" si="15"/>
        <v>#DIV/0!</v>
      </c>
      <c r="N63" s="45" t="e">
        <f t="shared" si="15"/>
        <v>#DIV/0!</v>
      </c>
      <c r="O63" s="45" t="e">
        <f t="shared" si="15"/>
        <v>#DIV/0!</v>
      </c>
      <c r="P63" s="45" t="e">
        <f t="shared" si="15"/>
        <v>#DIV/0!</v>
      </c>
      <c r="Q63" s="136" t="e">
        <f t="shared" si="15"/>
        <v>#DIV/0!</v>
      </c>
    </row>
    <row r="64" spans="2:17" x14ac:dyDescent="0.2">
      <c r="B64" s="150" t="s">
        <v>983</v>
      </c>
      <c r="C64" s="138">
        <f>0.005*C53/C57</f>
        <v>1.5</v>
      </c>
      <c r="D64" s="138">
        <f>0.005*D53/D57</f>
        <v>3</v>
      </c>
      <c r="E64" s="138">
        <f t="shared" ref="E64:Q64" si="16">0.005*E53/E57</f>
        <v>0.25</v>
      </c>
      <c r="F64" s="138">
        <f t="shared" si="16"/>
        <v>0.75</v>
      </c>
      <c r="G64" s="138" t="e">
        <f t="shared" si="16"/>
        <v>#DIV/0!</v>
      </c>
      <c r="H64" s="138">
        <f t="shared" si="16"/>
        <v>1.25</v>
      </c>
      <c r="I64" s="138">
        <f t="shared" si="16"/>
        <v>1.25</v>
      </c>
      <c r="J64" s="138">
        <f t="shared" si="16"/>
        <v>2.5</v>
      </c>
      <c r="K64" s="138">
        <f>0.005*K53/K57</f>
        <v>1.2</v>
      </c>
      <c r="L64" s="138">
        <f t="shared" si="16"/>
        <v>2.5</v>
      </c>
      <c r="M64" s="138" t="e">
        <f t="shared" si="16"/>
        <v>#DIV/0!</v>
      </c>
      <c r="N64" s="138" t="e">
        <f t="shared" si="16"/>
        <v>#DIV/0!</v>
      </c>
      <c r="O64" s="138" t="e">
        <f t="shared" si="16"/>
        <v>#DIV/0!</v>
      </c>
      <c r="P64" s="138" t="e">
        <f t="shared" si="16"/>
        <v>#DIV/0!</v>
      </c>
      <c r="Q64" s="139" t="e">
        <f t="shared" si="16"/>
        <v>#DIV/0!</v>
      </c>
    </row>
    <row r="65" spans="2:17" x14ac:dyDescent="0.2">
      <c r="B65" s="34"/>
      <c r="C65" s="45"/>
      <c r="D65" s="45"/>
      <c r="E65" s="45"/>
      <c r="F65" s="45"/>
      <c r="G65" s="45"/>
      <c r="H65" s="45"/>
      <c r="I65" s="45"/>
      <c r="J65" s="45"/>
      <c r="K65" s="45"/>
      <c r="L65" s="45"/>
      <c r="M65" s="45"/>
      <c r="N65" s="45"/>
      <c r="O65" s="45"/>
      <c r="P65" s="45"/>
      <c r="Q65" s="45"/>
    </row>
    <row r="66" spans="2:17" x14ac:dyDescent="0.2">
      <c r="B66" s="34"/>
      <c r="C66" s="45"/>
      <c r="D66" s="45"/>
      <c r="E66" s="45"/>
      <c r="F66" s="45"/>
      <c r="G66" s="45"/>
      <c r="H66" s="45"/>
      <c r="I66" s="45"/>
      <c r="J66" s="45"/>
      <c r="K66" s="45"/>
      <c r="L66" s="45"/>
      <c r="M66" s="45"/>
      <c r="N66" s="45"/>
      <c r="O66" s="45"/>
      <c r="P66" s="45"/>
      <c r="Q66" s="45"/>
    </row>
    <row r="67" spans="2:17" x14ac:dyDescent="0.2">
      <c r="B67" s="24" t="s">
        <v>987</v>
      </c>
    </row>
    <row r="68" spans="2:17" x14ac:dyDescent="0.2">
      <c r="B68" s="34" t="s">
        <v>355</v>
      </c>
      <c r="C68" s="45">
        <f t="shared" ref="C68:Q68" si="17">C61</f>
        <v>5.625</v>
      </c>
      <c r="D68" s="45">
        <f t="shared" si="17"/>
        <v>12</v>
      </c>
      <c r="E68" s="45">
        <f t="shared" si="17"/>
        <v>0.5</v>
      </c>
      <c r="F68" s="45">
        <f t="shared" si="17"/>
        <v>3</v>
      </c>
      <c r="G68" s="45" t="e">
        <f t="shared" si="17"/>
        <v>#DIV/0!</v>
      </c>
      <c r="H68" s="45">
        <f t="shared" si="17"/>
        <v>1.25</v>
      </c>
      <c r="I68" s="45">
        <f t="shared" si="17"/>
        <v>1.25</v>
      </c>
      <c r="J68" s="45">
        <f t="shared" si="17"/>
        <v>12.5</v>
      </c>
      <c r="K68" s="45">
        <f t="shared" si="17"/>
        <v>6</v>
      </c>
      <c r="L68" s="45">
        <f t="shared" si="17"/>
        <v>25</v>
      </c>
      <c r="M68" s="45" t="e">
        <f t="shared" si="17"/>
        <v>#DIV/0!</v>
      </c>
      <c r="N68" s="45" t="e">
        <f t="shared" si="17"/>
        <v>#DIV/0!</v>
      </c>
      <c r="O68" s="45" t="e">
        <f t="shared" si="17"/>
        <v>#DIV/0!</v>
      </c>
      <c r="P68" s="45" t="e">
        <f t="shared" si="17"/>
        <v>#DIV/0!</v>
      </c>
      <c r="Q68" s="45" t="e">
        <f t="shared" si="17"/>
        <v>#DIV/0!</v>
      </c>
    </row>
    <row r="69" spans="2:17" x14ac:dyDescent="0.2">
      <c r="B69" s="34" t="s">
        <v>357</v>
      </c>
      <c r="C69" s="45">
        <f t="shared" ref="C69:Q69" si="18">SUM(C61:C66)+HLOOKUP(C51,$C$13:$J$36,24)</f>
        <v>113.47499999999999</v>
      </c>
      <c r="D69" s="45">
        <f t="shared" si="18"/>
        <v>213.88333333333335</v>
      </c>
      <c r="E69" s="45">
        <f t="shared" si="18"/>
        <v>116.98333333333333</v>
      </c>
      <c r="F69" s="45">
        <f t="shared" si="18"/>
        <v>164.68333333333337</v>
      </c>
      <c r="G69" s="45" t="e">
        <f t="shared" si="18"/>
        <v>#DIV/0!</v>
      </c>
      <c r="H69" s="45">
        <f t="shared" si="18"/>
        <v>92.474999999999994</v>
      </c>
      <c r="I69" s="45">
        <f t="shared" si="18"/>
        <v>92.474999999999994</v>
      </c>
      <c r="J69" s="45">
        <f t="shared" si="18"/>
        <v>191.97500000000002</v>
      </c>
      <c r="K69" s="45">
        <f t="shared" si="18"/>
        <v>152.80000000000001</v>
      </c>
      <c r="L69" s="45">
        <f t="shared" si="18"/>
        <v>159.22499999999999</v>
      </c>
      <c r="M69" s="45" t="e">
        <f t="shared" si="18"/>
        <v>#DIV/0!</v>
      </c>
      <c r="N69" s="45" t="e">
        <f t="shared" si="18"/>
        <v>#DIV/0!</v>
      </c>
      <c r="O69" s="45" t="e">
        <f t="shared" si="18"/>
        <v>#DIV/0!</v>
      </c>
      <c r="P69" s="45" t="e">
        <f t="shared" si="18"/>
        <v>#DIV/0!</v>
      </c>
      <c r="Q69" s="45" t="e">
        <f t="shared" si="18"/>
        <v>#DIV/0!</v>
      </c>
    </row>
    <row r="70" spans="2:17" x14ac:dyDescent="0.2">
      <c r="B70" s="126"/>
      <c r="C70" s="126"/>
      <c r="D70" s="126"/>
      <c r="E70" s="126"/>
      <c r="F70" s="126"/>
      <c r="G70" s="126"/>
      <c r="H70" s="126"/>
      <c r="I70" s="126"/>
      <c r="J70" s="126"/>
      <c r="K70" s="126"/>
      <c r="L70" s="126"/>
      <c r="M70" s="126"/>
      <c r="N70" s="126"/>
      <c r="O70" s="126"/>
      <c r="P70" s="126"/>
      <c r="Q70" s="126"/>
    </row>
    <row r="71" spans="2:17" x14ac:dyDescent="0.2">
      <c r="B71" s="24" t="s">
        <v>988</v>
      </c>
    </row>
    <row r="72" spans="2:17" x14ac:dyDescent="0.2">
      <c r="B72" s="34" t="s">
        <v>784</v>
      </c>
      <c r="C72" s="46">
        <f t="shared" ref="C72:Q72" si="19">C58</f>
        <v>17</v>
      </c>
      <c r="D72" s="46">
        <f t="shared" si="19"/>
        <v>8</v>
      </c>
      <c r="E72" s="46">
        <f t="shared" si="19"/>
        <v>4</v>
      </c>
      <c r="F72" s="46">
        <f t="shared" si="19"/>
        <v>3.5</v>
      </c>
      <c r="G72" s="46">
        <f t="shared" si="19"/>
        <v>0</v>
      </c>
      <c r="H72" s="46">
        <f t="shared" si="19"/>
        <v>5.5</v>
      </c>
      <c r="I72" s="46">
        <f t="shared" si="19"/>
        <v>10</v>
      </c>
      <c r="J72" s="52">
        <f t="shared" si="19"/>
        <v>8</v>
      </c>
      <c r="K72" s="46">
        <f t="shared" si="19"/>
        <v>8</v>
      </c>
      <c r="L72" s="46">
        <f t="shared" si="19"/>
        <v>30</v>
      </c>
      <c r="M72" s="46">
        <f t="shared" si="19"/>
        <v>0</v>
      </c>
      <c r="N72" s="46">
        <f t="shared" si="19"/>
        <v>0</v>
      </c>
      <c r="O72" s="46">
        <f t="shared" si="19"/>
        <v>0</v>
      </c>
      <c r="P72" s="46">
        <f t="shared" si="19"/>
        <v>0</v>
      </c>
      <c r="Q72" s="46">
        <f t="shared" si="19"/>
        <v>0</v>
      </c>
    </row>
    <row r="73" spans="2:17" x14ac:dyDescent="0.2">
      <c r="B73" s="34" t="s">
        <v>989</v>
      </c>
      <c r="C73" s="47">
        <f t="shared" ref="C73:Q73" si="20">HLOOKUP(C51,$C$13:$J$27,15)/C72</f>
        <v>1.2941176470588236</v>
      </c>
      <c r="D73" s="47">
        <f t="shared" si="20"/>
        <v>6.1875000000000009</v>
      </c>
      <c r="E73" s="47">
        <f t="shared" si="20"/>
        <v>6.8750000000000009</v>
      </c>
      <c r="F73" s="47">
        <f t="shared" si="20"/>
        <v>18.857142857142858</v>
      </c>
      <c r="G73" s="47" t="e">
        <f t="shared" si="20"/>
        <v>#DIV/0!</v>
      </c>
      <c r="H73" s="47">
        <f t="shared" si="20"/>
        <v>4</v>
      </c>
      <c r="I73" s="47">
        <f t="shared" si="20"/>
        <v>2.2000000000000002</v>
      </c>
      <c r="J73" s="47">
        <f t="shared" si="20"/>
        <v>6.1875000000000009</v>
      </c>
      <c r="K73" s="47">
        <f t="shared" si="20"/>
        <v>6.1875000000000009</v>
      </c>
      <c r="L73" s="47">
        <f t="shared" si="20"/>
        <v>0.73333333333333328</v>
      </c>
      <c r="M73" s="47" t="e">
        <f t="shared" si="20"/>
        <v>#DIV/0!</v>
      </c>
      <c r="N73" s="47" t="e">
        <f t="shared" si="20"/>
        <v>#DIV/0!</v>
      </c>
      <c r="O73" s="47" t="e">
        <f t="shared" si="20"/>
        <v>#DIV/0!</v>
      </c>
      <c r="P73" s="47" t="e">
        <f t="shared" si="20"/>
        <v>#DIV/0!</v>
      </c>
      <c r="Q73" s="47" t="e">
        <f t="shared" si="20"/>
        <v>#DIV/0!</v>
      </c>
    </row>
    <row r="74" spans="2:17" x14ac:dyDescent="0.2">
      <c r="B74" s="34" t="s">
        <v>990</v>
      </c>
      <c r="C74" s="47">
        <f t="shared" ref="C74:Q74" si="21">(HLOOKUP(C51,$C$13:$J$28,16)+C61)/C72</f>
        <v>0.6132352941176471</v>
      </c>
      <c r="D74" s="47">
        <f t="shared" si="21"/>
        <v>2.9874999999999998</v>
      </c>
      <c r="E74" s="47">
        <f t="shared" si="21"/>
        <v>3.0999999999999996</v>
      </c>
      <c r="F74" s="47">
        <f t="shared" si="21"/>
        <v>4.2571428571428571</v>
      </c>
      <c r="G74" s="47" t="e">
        <f t="shared" si="21"/>
        <v>#DIV/0!</v>
      </c>
      <c r="H74" s="47">
        <f t="shared" si="21"/>
        <v>1.0999999999999999</v>
      </c>
      <c r="I74" s="47">
        <f t="shared" si="21"/>
        <v>0.60499999999999998</v>
      </c>
      <c r="J74" s="47">
        <f t="shared" si="21"/>
        <v>2.4624999999999999</v>
      </c>
      <c r="K74" s="47">
        <f t="shared" si="21"/>
        <v>1.65</v>
      </c>
      <c r="L74" s="47">
        <f t="shared" si="21"/>
        <v>0.9933333333333334</v>
      </c>
      <c r="M74" s="47" t="e">
        <f t="shared" si="21"/>
        <v>#DIV/0!</v>
      </c>
      <c r="N74" s="47" t="e">
        <f t="shared" si="21"/>
        <v>#DIV/0!</v>
      </c>
      <c r="O74" s="47" t="e">
        <f t="shared" si="21"/>
        <v>#DIV/0!</v>
      </c>
      <c r="P74" s="47" t="e">
        <f t="shared" si="21"/>
        <v>#DIV/0!</v>
      </c>
      <c r="Q74" s="47" t="e">
        <f t="shared" si="21"/>
        <v>#DIV/0!</v>
      </c>
    </row>
    <row r="75" spans="2:17" ht="13.5" thickBot="1" x14ac:dyDescent="0.25">
      <c r="B75" s="24" t="s">
        <v>613</v>
      </c>
      <c r="C75" s="49">
        <f>SUM(C73:C74)</f>
        <v>1.9073529411764707</v>
      </c>
      <c r="D75" s="49">
        <f t="shared" ref="D75:Q75" si="22">SUM(D73:D74)</f>
        <v>9.1750000000000007</v>
      </c>
      <c r="E75" s="49">
        <f t="shared" si="22"/>
        <v>9.9750000000000014</v>
      </c>
      <c r="F75" s="49">
        <f t="shared" si="22"/>
        <v>23.114285714285714</v>
      </c>
      <c r="G75" s="49" t="e">
        <f t="shared" si="22"/>
        <v>#DIV/0!</v>
      </c>
      <c r="H75" s="49">
        <f t="shared" si="22"/>
        <v>5.0999999999999996</v>
      </c>
      <c r="I75" s="49">
        <f t="shared" si="22"/>
        <v>2.8050000000000002</v>
      </c>
      <c r="J75" s="49">
        <f t="shared" si="22"/>
        <v>8.65</v>
      </c>
      <c r="K75" s="49">
        <f t="shared" si="22"/>
        <v>7.8375000000000004</v>
      </c>
      <c r="L75" s="49">
        <f t="shared" si="22"/>
        <v>1.7266666666666666</v>
      </c>
      <c r="M75" s="49" t="e">
        <f t="shared" si="22"/>
        <v>#DIV/0!</v>
      </c>
      <c r="N75" s="49" t="e">
        <f t="shared" si="22"/>
        <v>#DIV/0!</v>
      </c>
      <c r="O75" s="49" t="e">
        <f t="shared" si="22"/>
        <v>#DIV/0!</v>
      </c>
      <c r="P75" s="49" t="e">
        <f t="shared" si="22"/>
        <v>#DIV/0!</v>
      </c>
      <c r="Q75" s="49" t="e">
        <f t="shared" si="22"/>
        <v>#DIV/0!</v>
      </c>
    </row>
    <row r="76" spans="2:17" ht="13.5" thickTop="1" x14ac:dyDescent="0.2">
      <c r="B76" s="2" t="s">
        <v>615</v>
      </c>
      <c r="C76" s="47">
        <f>HLOOKUP(C51,$C$13:$J$33,21)/C72</f>
        <v>1.4705882352941178</v>
      </c>
      <c r="D76" s="47">
        <f t="shared" ref="D76:Q76" si="23">HLOOKUP(D51,$C$13:$J$33,21)/D72</f>
        <v>3.125</v>
      </c>
      <c r="E76" s="47">
        <f t="shared" si="23"/>
        <v>6.25</v>
      </c>
      <c r="F76" s="47">
        <f t="shared" si="23"/>
        <v>7.1428571428571432</v>
      </c>
      <c r="G76" s="47" t="e">
        <f t="shared" si="23"/>
        <v>#DIV/0!</v>
      </c>
      <c r="H76" s="47">
        <f t="shared" si="23"/>
        <v>4.5454545454545459</v>
      </c>
      <c r="I76" s="47">
        <f t="shared" si="23"/>
        <v>2.5</v>
      </c>
      <c r="J76" s="47">
        <f t="shared" si="23"/>
        <v>3.125</v>
      </c>
      <c r="K76" s="47">
        <f t="shared" si="23"/>
        <v>3.125</v>
      </c>
      <c r="L76" s="47">
        <f t="shared" si="23"/>
        <v>0.83333333333333337</v>
      </c>
      <c r="M76" s="47" t="e">
        <f t="shared" si="23"/>
        <v>#DIV/0!</v>
      </c>
      <c r="N76" s="47" t="e">
        <f t="shared" si="23"/>
        <v>#DIV/0!</v>
      </c>
      <c r="O76" s="47" t="e">
        <f t="shared" si="23"/>
        <v>#DIV/0!</v>
      </c>
      <c r="P76" s="47" t="e">
        <f t="shared" si="23"/>
        <v>#DIV/0!</v>
      </c>
      <c r="Q76" s="47" t="e">
        <f t="shared" si="23"/>
        <v>#DIV/0!</v>
      </c>
    </row>
    <row r="78" spans="2:17" ht="15.75" x14ac:dyDescent="0.25">
      <c r="B78" s="151" t="s">
        <v>614</v>
      </c>
      <c r="C78" s="152"/>
      <c r="D78" s="153"/>
      <c r="E78" s="153"/>
      <c r="F78" s="153"/>
      <c r="G78" s="153"/>
      <c r="H78" s="153"/>
      <c r="I78" s="153"/>
      <c r="J78" s="153"/>
      <c r="K78" s="153"/>
      <c r="L78" s="153"/>
      <c r="M78" s="153"/>
      <c r="N78" s="153"/>
      <c r="O78" s="153"/>
      <c r="P78" s="153"/>
      <c r="Q78" s="153"/>
    </row>
    <row r="79" spans="2:17" ht="15.75" x14ac:dyDescent="0.25">
      <c r="B79" s="152" t="s">
        <v>610</v>
      </c>
      <c r="C79" s="154">
        <f>C73</f>
        <v>1.2941176470588236</v>
      </c>
      <c r="D79" s="154">
        <f t="shared" ref="D79:Q79" si="24">D73</f>
        <v>6.1875000000000009</v>
      </c>
      <c r="E79" s="154">
        <f t="shared" si="24"/>
        <v>6.8750000000000009</v>
      </c>
      <c r="F79" s="154">
        <f t="shared" si="24"/>
        <v>18.857142857142858</v>
      </c>
      <c r="G79" s="154" t="e">
        <f t="shared" si="24"/>
        <v>#DIV/0!</v>
      </c>
      <c r="H79" s="154">
        <f t="shared" si="24"/>
        <v>4</v>
      </c>
      <c r="I79" s="154">
        <f t="shared" si="24"/>
        <v>2.2000000000000002</v>
      </c>
      <c r="J79" s="154">
        <f t="shared" si="24"/>
        <v>6.1875000000000009</v>
      </c>
      <c r="K79" s="154">
        <f t="shared" si="24"/>
        <v>6.1875000000000009</v>
      </c>
      <c r="L79" s="154">
        <f t="shared" si="24"/>
        <v>0.73333333333333328</v>
      </c>
      <c r="M79" s="154" t="e">
        <f t="shared" si="24"/>
        <v>#DIV/0!</v>
      </c>
      <c r="N79" s="154" t="e">
        <f t="shared" si="24"/>
        <v>#DIV/0!</v>
      </c>
      <c r="O79" s="154" t="e">
        <f t="shared" si="24"/>
        <v>#DIV/0!</v>
      </c>
      <c r="P79" s="154" t="e">
        <f t="shared" si="24"/>
        <v>#DIV/0!</v>
      </c>
      <c r="Q79" s="154" t="e">
        <f t="shared" si="24"/>
        <v>#DIV/0!</v>
      </c>
    </row>
    <row r="80" spans="2:17" ht="15.75" x14ac:dyDescent="0.25">
      <c r="B80" s="152" t="s">
        <v>611</v>
      </c>
      <c r="C80" s="154">
        <f>(HLOOKUP(C51,$C$13:$J$28,16)+C61)/C72</f>
        <v>0.6132352941176471</v>
      </c>
      <c r="D80" s="154">
        <f t="shared" ref="D80:Q80" si="25">(HLOOKUP(D51,$C$13:$J$28,16)+D61)/D72</f>
        <v>2.9874999999999998</v>
      </c>
      <c r="E80" s="154">
        <f t="shared" si="25"/>
        <v>3.0999999999999996</v>
      </c>
      <c r="F80" s="154">
        <f t="shared" si="25"/>
        <v>4.2571428571428571</v>
      </c>
      <c r="G80" s="154" t="e">
        <f t="shared" si="25"/>
        <v>#DIV/0!</v>
      </c>
      <c r="H80" s="154">
        <f t="shared" si="25"/>
        <v>1.0999999999999999</v>
      </c>
      <c r="I80" s="154">
        <f t="shared" si="25"/>
        <v>0.60499999999999998</v>
      </c>
      <c r="J80" s="154">
        <f t="shared" si="25"/>
        <v>2.4624999999999999</v>
      </c>
      <c r="K80" s="154">
        <f t="shared" si="25"/>
        <v>1.65</v>
      </c>
      <c r="L80" s="154">
        <f t="shared" si="25"/>
        <v>0.9933333333333334</v>
      </c>
      <c r="M80" s="154" t="e">
        <f t="shared" si="25"/>
        <v>#DIV/0!</v>
      </c>
      <c r="N80" s="154" t="e">
        <f t="shared" si="25"/>
        <v>#DIV/0!</v>
      </c>
      <c r="O80" s="154" t="e">
        <f t="shared" si="25"/>
        <v>#DIV/0!</v>
      </c>
      <c r="P80" s="154" t="e">
        <f t="shared" si="25"/>
        <v>#DIV/0!</v>
      </c>
      <c r="Q80" s="154" t="e">
        <f t="shared" si="25"/>
        <v>#DIV/0!</v>
      </c>
    </row>
    <row r="81" spans="2:17" ht="15.75" x14ac:dyDescent="0.25">
      <c r="B81" s="124" t="s">
        <v>981</v>
      </c>
      <c r="C81" s="154">
        <f>(HLOOKUP(C51,$C$13:$J$29,17)+C62)/C72</f>
        <v>1.8308823529411764</v>
      </c>
      <c r="D81" s="154">
        <f t="shared" ref="D81:Q81" si="26">(HLOOKUP(D51,$C$13:$J$29,17)+D62)/D72</f>
        <v>8.1750000000000007</v>
      </c>
      <c r="E81" s="154">
        <f t="shared" si="26"/>
        <v>5.5</v>
      </c>
      <c r="F81" s="154">
        <f t="shared" si="26"/>
        <v>7.2</v>
      </c>
      <c r="G81" s="154" t="e">
        <f t="shared" si="26"/>
        <v>#DIV/0!</v>
      </c>
      <c r="H81" s="154">
        <f t="shared" si="26"/>
        <v>3</v>
      </c>
      <c r="I81" s="154">
        <f t="shared" si="26"/>
        <v>1.65</v>
      </c>
      <c r="J81" s="154">
        <f t="shared" si="26"/>
        <v>7.1124999999999998</v>
      </c>
      <c r="K81" s="154">
        <f t="shared" si="26"/>
        <v>4.05</v>
      </c>
      <c r="L81" s="154">
        <f t="shared" si="26"/>
        <v>1.65</v>
      </c>
      <c r="M81" s="154" t="e">
        <f t="shared" si="26"/>
        <v>#DIV/0!</v>
      </c>
      <c r="N81" s="154" t="e">
        <f t="shared" si="26"/>
        <v>#DIV/0!</v>
      </c>
      <c r="O81" s="154" t="e">
        <f t="shared" si="26"/>
        <v>#DIV/0!</v>
      </c>
      <c r="P81" s="154" t="e">
        <f t="shared" si="26"/>
        <v>#DIV/0!</v>
      </c>
      <c r="Q81" s="154" t="e">
        <f t="shared" si="26"/>
        <v>#DIV/0!</v>
      </c>
    </row>
    <row r="82" spans="2:17" ht="15.75" x14ac:dyDescent="0.25">
      <c r="B82" s="124" t="s">
        <v>982</v>
      </c>
      <c r="C82" s="154">
        <f>(HLOOKUP(C51,$C$13:$J$30,18)+C63)/C72</f>
        <v>1.0955882352941178</v>
      </c>
      <c r="D82" s="154">
        <f t="shared" ref="D82:Q82" si="27">(HLOOKUP(D51,$C$13:$J$30,18)+D63)/D72</f>
        <v>4.822916666666667</v>
      </c>
      <c r="E82" s="154">
        <f t="shared" si="27"/>
        <v>5.3333333333333339</v>
      </c>
      <c r="F82" s="154">
        <f t="shared" si="27"/>
        <v>6.9523809523809534</v>
      </c>
      <c r="G82" s="154" t="e">
        <f t="shared" si="27"/>
        <v>#DIV/0!</v>
      </c>
      <c r="H82" s="154">
        <f t="shared" si="27"/>
        <v>3.0681818181818183</v>
      </c>
      <c r="I82" s="154">
        <f t="shared" si="27"/>
        <v>1.6875</v>
      </c>
      <c r="J82" s="154">
        <f t="shared" si="27"/>
        <v>3.8968750000000001</v>
      </c>
      <c r="K82" s="154">
        <f t="shared" si="27"/>
        <v>3.0375000000000001</v>
      </c>
      <c r="L82" s="154">
        <f t="shared" si="27"/>
        <v>0.85416666666666663</v>
      </c>
      <c r="M82" s="154" t="e">
        <f t="shared" si="27"/>
        <v>#DIV/0!</v>
      </c>
      <c r="N82" s="154" t="e">
        <f t="shared" si="27"/>
        <v>#DIV/0!</v>
      </c>
      <c r="O82" s="154" t="e">
        <f t="shared" si="27"/>
        <v>#DIV/0!</v>
      </c>
      <c r="P82" s="154" t="e">
        <f t="shared" si="27"/>
        <v>#DIV/0!</v>
      </c>
      <c r="Q82" s="154" t="e">
        <f t="shared" si="27"/>
        <v>#DIV/0!</v>
      </c>
    </row>
    <row r="83" spans="2:17" ht="15.75" x14ac:dyDescent="0.25">
      <c r="B83" s="124" t="s">
        <v>983</v>
      </c>
      <c r="C83" s="154">
        <f>(HLOOKUP(C51,$C$13:$J$31,19)+C64)/C72</f>
        <v>0.18235294117647061</v>
      </c>
      <c r="D83" s="154">
        <f t="shared" ref="D83:Q83" si="28">(HLOOKUP(D51,$C$13:$J$31,19)+D64)/D72</f>
        <v>0.72916666666666674</v>
      </c>
      <c r="E83" s="154">
        <f t="shared" si="28"/>
        <v>0.77083333333333337</v>
      </c>
      <c r="F83" s="154">
        <f t="shared" si="28"/>
        <v>1.0238095238095239</v>
      </c>
      <c r="G83" s="154" t="e">
        <f t="shared" si="28"/>
        <v>#DIV/0!</v>
      </c>
      <c r="H83" s="154">
        <f t="shared" si="28"/>
        <v>0.51818181818181819</v>
      </c>
      <c r="I83" s="154">
        <f t="shared" si="28"/>
        <v>0.28500000000000003</v>
      </c>
      <c r="J83" s="154">
        <f t="shared" si="28"/>
        <v>0.61250000000000004</v>
      </c>
      <c r="K83" s="154">
        <f t="shared" si="28"/>
        <v>0.44999999999999996</v>
      </c>
      <c r="L83" s="154">
        <f t="shared" si="28"/>
        <v>0.13666666666666666</v>
      </c>
      <c r="M83" s="154" t="e">
        <f t="shared" si="28"/>
        <v>#DIV/0!</v>
      </c>
      <c r="N83" s="154" t="e">
        <f t="shared" si="28"/>
        <v>#DIV/0!</v>
      </c>
      <c r="O83" s="154" t="e">
        <f t="shared" si="28"/>
        <v>#DIV/0!</v>
      </c>
      <c r="P83" s="154" t="e">
        <f t="shared" si="28"/>
        <v>#DIV/0!</v>
      </c>
      <c r="Q83" s="154" t="e">
        <f t="shared" si="28"/>
        <v>#DIV/0!</v>
      </c>
    </row>
    <row r="84" spans="2:17" ht="15.75" x14ac:dyDescent="0.25">
      <c r="B84" s="124" t="s">
        <v>984</v>
      </c>
      <c r="C84" s="154">
        <f>(HLOOKUP(C51,$C$13:$J$32,20))/C72</f>
        <v>0.18823529411764706</v>
      </c>
      <c r="D84" s="154">
        <f t="shared" ref="D84:Q84" si="29">(HLOOKUP(D51,$C$13:$J$32,20))/D72</f>
        <v>0.70833333333333337</v>
      </c>
      <c r="E84" s="154">
        <f t="shared" si="29"/>
        <v>1.4166666666666667</v>
      </c>
      <c r="F84" s="154">
        <f t="shared" si="29"/>
        <v>1.6190476190476191</v>
      </c>
      <c r="G84" s="154" t="e">
        <f t="shared" si="29"/>
        <v>#DIV/0!</v>
      </c>
      <c r="H84" s="154">
        <f t="shared" si="29"/>
        <v>0.5818181818181819</v>
      </c>
      <c r="I84" s="154">
        <f t="shared" si="29"/>
        <v>0.32</v>
      </c>
      <c r="J84" s="154">
        <f t="shared" si="29"/>
        <v>0.6</v>
      </c>
      <c r="K84" s="154">
        <f t="shared" si="29"/>
        <v>0.6</v>
      </c>
      <c r="L84" s="154">
        <f t="shared" si="29"/>
        <v>0.10666666666666667</v>
      </c>
      <c r="M84" s="154" t="e">
        <f t="shared" si="29"/>
        <v>#DIV/0!</v>
      </c>
      <c r="N84" s="154" t="e">
        <f t="shared" si="29"/>
        <v>#DIV/0!</v>
      </c>
      <c r="O84" s="154" t="e">
        <f t="shared" si="29"/>
        <v>#DIV/0!</v>
      </c>
      <c r="P84" s="154" t="e">
        <f t="shared" si="29"/>
        <v>#DIV/0!</v>
      </c>
      <c r="Q84" s="154" t="e">
        <f t="shared" si="29"/>
        <v>#DIV/0!</v>
      </c>
    </row>
    <row r="85" spans="2:17" ht="15.75" x14ac:dyDescent="0.25">
      <c r="B85" s="155" t="s">
        <v>985</v>
      </c>
      <c r="C85" s="154">
        <f>(HLOOKUP(C51,$C$13:$J$33,21))/C72</f>
        <v>1.4705882352941178</v>
      </c>
      <c r="D85" s="154">
        <f t="shared" ref="D85:Q85" si="30">(HLOOKUP(D51,$C$13:$J$33,21))/D72</f>
        <v>3.125</v>
      </c>
      <c r="E85" s="154">
        <f t="shared" si="30"/>
        <v>6.25</v>
      </c>
      <c r="F85" s="154">
        <f t="shared" si="30"/>
        <v>7.1428571428571432</v>
      </c>
      <c r="G85" s="154" t="e">
        <f t="shared" si="30"/>
        <v>#DIV/0!</v>
      </c>
      <c r="H85" s="154">
        <f t="shared" si="30"/>
        <v>4.5454545454545459</v>
      </c>
      <c r="I85" s="154">
        <f t="shared" si="30"/>
        <v>2.5</v>
      </c>
      <c r="J85" s="154">
        <f t="shared" si="30"/>
        <v>3.125</v>
      </c>
      <c r="K85" s="154">
        <f t="shared" si="30"/>
        <v>3.125</v>
      </c>
      <c r="L85" s="154">
        <f t="shared" si="30"/>
        <v>0.83333333333333337</v>
      </c>
      <c r="M85" s="154" t="e">
        <f t="shared" si="30"/>
        <v>#DIV/0!</v>
      </c>
      <c r="N85" s="154" t="e">
        <f t="shared" si="30"/>
        <v>#DIV/0!</v>
      </c>
      <c r="O85" s="154" t="e">
        <f t="shared" si="30"/>
        <v>#DIV/0!</v>
      </c>
      <c r="P85" s="154" t="e">
        <f t="shared" si="30"/>
        <v>#DIV/0!</v>
      </c>
      <c r="Q85" s="154" t="e">
        <f t="shared" si="30"/>
        <v>#DIV/0!</v>
      </c>
    </row>
    <row r="86" spans="2:17" ht="15.75" x14ac:dyDescent="0.25">
      <c r="B86" s="133" t="s">
        <v>612</v>
      </c>
      <c r="C86" s="134">
        <f>SUM(C79:C85)</f>
        <v>6.6750000000000007</v>
      </c>
      <c r="D86" s="134">
        <f t="shared" ref="D86:Q86" si="31">SUM(D79:D85)</f>
        <v>26.735416666666669</v>
      </c>
      <c r="E86" s="134">
        <f t="shared" si="31"/>
        <v>29.245833333333337</v>
      </c>
      <c r="F86" s="134">
        <f t="shared" si="31"/>
        <v>47.052380952380958</v>
      </c>
      <c r="G86" s="134" t="e">
        <f t="shared" si="31"/>
        <v>#DIV/0!</v>
      </c>
      <c r="H86" s="134">
        <f t="shared" si="31"/>
        <v>16.813636363636363</v>
      </c>
      <c r="I86" s="134">
        <f t="shared" si="31"/>
        <v>9.2475000000000005</v>
      </c>
      <c r="J86" s="134">
        <f t="shared" si="31"/>
        <v>23.996875000000003</v>
      </c>
      <c r="K86" s="134">
        <f t="shared" si="31"/>
        <v>19.099999999999998</v>
      </c>
      <c r="L86" s="134">
        <f t="shared" si="31"/>
        <v>5.3074999999999992</v>
      </c>
      <c r="M86" s="134" t="e">
        <f t="shared" si="31"/>
        <v>#DIV/0!</v>
      </c>
      <c r="N86" s="134" t="e">
        <f t="shared" si="31"/>
        <v>#DIV/0!</v>
      </c>
      <c r="O86" s="134" t="e">
        <f t="shared" si="31"/>
        <v>#DIV/0!</v>
      </c>
      <c r="P86" s="134" t="e">
        <f t="shared" si="31"/>
        <v>#DIV/0!</v>
      </c>
      <c r="Q86" s="134" t="e">
        <f t="shared" si="31"/>
        <v>#DIV/0!</v>
      </c>
    </row>
    <row r="87" spans="2:17" x14ac:dyDescent="0.2">
      <c r="B87" s="125" t="s">
        <v>912</v>
      </c>
      <c r="C87" s="47">
        <f t="shared" ref="C87:Q87" si="32">C86*(1+$C$89)</f>
        <v>8.01</v>
      </c>
      <c r="D87" s="47">
        <f t="shared" si="32"/>
        <v>32.082500000000003</v>
      </c>
      <c r="E87" s="47">
        <f t="shared" si="32"/>
        <v>35.095000000000006</v>
      </c>
      <c r="F87" s="47">
        <f t="shared" si="32"/>
        <v>56.462857142857146</v>
      </c>
      <c r="G87" s="47" t="e">
        <f t="shared" si="32"/>
        <v>#DIV/0!</v>
      </c>
      <c r="H87" s="47">
        <f t="shared" si="32"/>
        <v>20.176363636363636</v>
      </c>
      <c r="I87" s="47">
        <f t="shared" si="32"/>
        <v>11.097</v>
      </c>
      <c r="J87" s="47">
        <f t="shared" si="32"/>
        <v>28.796250000000001</v>
      </c>
      <c r="K87" s="47">
        <f t="shared" si="32"/>
        <v>22.919999999999998</v>
      </c>
      <c r="L87" s="47">
        <f t="shared" si="32"/>
        <v>6.3689999999999989</v>
      </c>
      <c r="M87" s="47" t="e">
        <f t="shared" si="32"/>
        <v>#DIV/0!</v>
      </c>
      <c r="N87" s="47" t="e">
        <f t="shared" si="32"/>
        <v>#DIV/0!</v>
      </c>
      <c r="O87" s="47" t="e">
        <f t="shared" si="32"/>
        <v>#DIV/0!</v>
      </c>
      <c r="P87" s="47" t="e">
        <f t="shared" si="32"/>
        <v>#DIV/0!</v>
      </c>
      <c r="Q87" s="47" t="e">
        <f t="shared" si="32"/>
        <v>#DIV/0!</v>
      </c>
    </row>
    <row r="89" spans="2:17" x14ac:dyDescent="0.2">
      <c r="B89" s="26" t="s">
        <v>787</v>
      </c>
      <c r="C89" s="156">
        <v>0.2</v>
      </c>
    </row>
    <row r="96" spans="2:17" x14ac:dyDescent="0.2">
      <c r="B96" s="125" t="s">
        <v>750</v>
      </c>
    </row>
    <row r="97" spans="2:2" ht="45" x14ac:dyDescent="0.2">
      <c r="B97" s="18" t="s">
        <v>456</v>
      </c>
    </row>
    <row r="98" spans="2:2" ht="36" customHeight="1" x14ac:dyDescent="0.2">
      <c r="B98" s="18" t="s">
        <v>457</v>
      </c>
    </row>
    <row r="99" spans="2:2" ht="36.75" customHeight="1" x14ac:dyDescent="0.2">
      <c r="B99" s="183" t="s">
        <v>638</v>
      </c>
    </row>
    <row r="100" spans="2:2" ht="28.5" customHeight="1" x14ac:dyDescent="0.25">
      <c r="B100" s="183" t="s">
        <v>639</v>
      </c>
    </row>
    <row r="101" spans="2:2" ht="202.5" customHeight="1" x14ac:dyDescent="0.2">
      <c r="B101" s="183" t="s">
        <v>640</v>
      </c>
    </row>
    <row r="102" spans="2:2" ht="50.25" customHeight="1" x14ac:dyDescent="0.2">
      <c r="B102" s="18" t="s">
        <v>460</v>
      </c>
    </row>
  </sheetData>
  <phoneticPr fontId="0" type="noConversion"/>
  <pageMargins left="0.75" right="0.47" top="1" bottom="1" header="0.5" footer="0.5"/>
  <pageSetup paperSize="9" scale="44" fitToWidth="3" orientation="landscape" horizontalDpi="300" verticalDpi="300" r:id="rId1"/>
  <headerFooter alignWithMargins="0">
    <oddHeader>&amp;C&amp;F &amp;A</oddHeader>
    <oddFooter>Page &amp;P</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pageSetUpPr fitToPage="1"/>
  </sheetPr>
  <dimension ref="A2:M407"/>
  <sheetViews>
    <sheetView showGridLines="0" zoomScale="65" workbookViewId="0"/>
  </sheetViews>
  <sheetFormatPr defaultColWidth="8.88671875" defaultRowHeight="15" x14ac:dyDescent="0.2"/>
  <cols>
    <col min="1" max="1" width="9.77734375" style="1" customWidth="1"/>
    <col min="2" max="2" width="23.44140625" style="6" bestFit="1" customWidth="1"/>
    <col min="3" max="3" width="16.109375" style="1" customWidth="1"/>
    <col min="4" max="4" width="41.21875" style="1" customWidth="1"/>
    <col min="5" max="5" width="36.33203125" style="1" bestFit="1" customWidth="1"/>
    <col min="6" max="9" width="16.77734375" style="7" customWidth="1"/>
    <col min="10" max="10" width="23" style="1" bestFit="1" customWidth="1"/>
    <col min="11" max="11" width="8.88671875" style="1"/>
    <col min="12" max="12" width="12.88671875" customWidth="1"/>
    <col min="13" max="13" width="13.33203125" customWidth="1"/>
    <col min="14" max="16384" width="8.88671875" style="1"/>
  </cols>
  <sheetData>
    <row r="2" spans="1:13" ht="15.75" x14ac:dyDescent="0.25">
      <c r="B2" s="13" t="s">
        <v>772</v>
      </c>
    </row>
    <row r="3" spans="1:13" ht="15.75" x14ac:dyDescent="0.25">
      <c r="B3" s="13" t="s">
        <v>773</v>
      </c>
    </row>
    <row r="4" spans="1:13" ht="15.75" x14ac:dyDescent="0.25">
      <c r="B4" s="13" t="s">
        <v>744</v>
      </c>
    </row>
    <row r="6" spans="1:13" s="5" customFormat="1" ht="15.75" x14ac:dyDescent="0.25">
      <c r="B6" s="5" t="s">
        <v>1002</v>
      </c>
      <c r="C6" s="9" t="s">
        <v>929</v>
      </c>
      <c r="D6" s="5" t="s">
        <v>461</v>
      </c>
      <c r="E6" s="5" t="s">
        <v>462</v>
      </c>
      <c r="F6" s="5" t="s">
        <v>463</v>
      </c>
      <c r="G6" s="5" t="s">
        <v>464</v>
      </c>
      <c r="H6" s="5" t="s">
        <v>465</v>
      </c>
      <c r="I6" s="5" t="s">
        <v>470</v>
      </c>
      <c r="J6" s="10" t="s">
        <v>466</v>
      </c>
      <c r="K6" s="5" t="s">
        <v>465</v>
      </c>
      <c r="L6" s="5" t="s">
        <v>467</v>
      </c>
      <c r="M6" s="5" t="s">
        <v>468</v>
      </c>
    </row>
    <row r="7" spans="1:13" x14ac:dyDescent="0.2">
      <c r="A7" s="8"/>
      <c r="B7" s="19"/>
      <c r="C7" s="20">
        <v>0</v>
      </c>
      <c r="D7" s="21" t="s">
        <v>930</v>
      </c>
      <c r="E7" s="21"/>
      <c r="F7" s="21"/>
      <c r="G7" s="21"/>
      <c r="H7" s="21"/>
      <c r="I7" s="21" t="s">
        <v>986</v>
      </c>
      <c r="J7" s="22">
        <v>0</v>
      </c>
      <c r="K7" s="23"/>
    </row>
    <row r="8" spans="1:13" x14ac:dyDescent="0.2">
      <c r="A8" s="8"/>
      <c r="B8" s="19" t="s">
        <v>358</v>
      </c>
      <c r="C8" s="20">
        <v>1</v>
      </c>
      <c r="D8" s="21" t="s">
        <v>358</v>
      </c>
      <c r="E8" s="21"/>
      <c r="F8" s="21"/>
      <c r="G8" s="21"/>
      <c r="H8" s="21"/>
      <c r="I8" s="21" t="s">
        <v>997</v>
      </c>
      <c r="J8" s="22">
        <v>25</v>
      </c>
      <c r="K8" s="23"/>
      <c r="M8" t="s">
        <v>920</v>
      </c>
    </row>
    <row r="9" spans="1:13" x14ac:dyDescent="0.2">
      <c r="A9" s="8"/>
      <c r="B9" s="19" t="s">
        <v>358</v>
      </c>
      <c r="C9" s="20">
        <v>2</v>
      </c>
      <c r="D9" s="21"/>
      <c r="E9" s="21"/>
      <c r="F9" s="21"/>
      <c r="G9" s="21"/>
      <c r="H9" s="21"/>
      <c r="I9" s="21"/>
      <c r="J9" s="22"/>
      <c r="K9" s="23"/>
    </row>
    <row r="10" spans="1:13" x14ac:dyDescent="0.2">
      <c r="A10" s="8"/>
      <c r="B10" s="19" t="s">
        <v>358</v>
      </c>
      <c r="C10" s="20">
        <v>3</v>
      </c>
      <c r="D10" s="21"/>
      <c r="E10" s="21"/>
      <c r="F10" s="21"/>
      <c r="G10" s="21"/>
      <c r="H10" s="21"/>
      <c r="I10" s="21"/>
      <c r="J10" s="22"/>
      <c r="K10" s="23"/>
      <c r="M10" t="s">
        <v>921</v>
      </c>
    </row>
    <row r="11" spans="1:13" x14ac:dyDescent="0.2">
      <c r="A11" s="8"/>
      <c r="B11" s="19" t="s">
        <v>999</v>
      </c>
      <c r="C11" s="20">
        <v>4</v>
      </c>
      <c r="D11" s="21" t="s">
        <v>1003</v>
      </c>
      <c r="E11" s="21"/>
      <c r="F11" s="21"/>
      <c r="G11" s="21"/>
      <c r="H11" s="21"/>
      <c r="I11" s="21" t="s">
        <v>1004</v>
      </c>
      <c r="J11" s="22">
        <v>14</v>
      </c>
      <c r="K11" s="23"/>
      <c r="M11" t="s">
        <v>910</v>
      </c>
    </row>
    <row r="12" spans="1:13" x14ac:dyDescent="0.2">
      <c r="A12" s="8"/>
      <c r="B12" s="19" t="s">
        <v>999</v>
      </c>
      <c r="C12" s="20">
        <v>5</v>
      </c>
      <c r="D12" s="21" t="s">
        <v>1005</v>
      </c>
      <c r="E12" s="21"/>
      <c r="F12" s="21"/>
      <c r="G12" s="21"/>
      <c r="H12" s="21"/>
      <c r="I12" s="21" t="s">
        <v>1004</v>
      </c>
      <c r="J12" s="22">
        <v>14</v>
      </c>
      <c r="K12" s="23"/>
    </row>
    <row r="13" spans="1:13" x14ac:dyDescent="0.2">
      <c r="A13" s="8"/>
      <c r="B13" s="19" t="s">
        <v>999</v>
      </c>
      <c r="C13" s="20">
        <v>6</v>
      </c>
      <c r="D13" s="21" t="s">
        <v>1006</v>
      </c>
      <c r="E13" s="21"/>
      <c r="F13" s="21"/>
      <c r="G13" s="21"/>
      <c r="H13" s="21"/>
      <c r="I13" s="21" t="s">
        <v>1004</v>
      </c>
      <c r="J13" s="22">
        <v>11</v>
      </c>
      <c r="K13" s="23"/>
    </row>
    <row r="14" spans="1:13" x14ac:dyDescent="0.2">
      <c r="A14" s="8"/>
      <c r="B14" s="19" t="s">
        <v>999</v>
      </c>
      <c r="C14" s="20">
        <v>7</v>
      </c>
      <c r="D14" s="21" t="s">
        <v>479</v>
      </c>
      <c r="E14" s="21"/>
      <c r="F14" s="21"/>
      <c r="G14" s="21">
        <v>41.99</v>
      </c>
      <c r="H14" s="21">
        <v>1</v>
      </c>
      <c r="I14" s="21" t="s">
        <v>992</v>
      </c>
      <c r="J14" s="22">
        <f>G14/H14</f>
        <v>41.99</v>
      </c>
      <c r="K14" s="23"/>
    </row>
    <row r="15" spans="1:13" x14ac:dyDescent="0.2">
      <c r="A15" s="8"/>
      <c r="B15" s="19" t="s">
        <v>999</v>
      </c>
      <c r="C15" s="20">
        <v>8</v>
      </c>
      <c r="D15" s="21" t="s">
        <v>1008</v>
      </c>
      <c r="E15" s="21"/>
      <c r="F15" s="21"/>
      <c r="G15" s="21"/>
      <c r="H15" s="21"/>
      <c r="I15" s="21" t="s">
        <v>1009</v>
      </c>
      <c r="J15" s="22">
        <v>18.5</v>
      </c>
      <c r="K15" s="23"/>
    </row>
    <row r="16" spans="1:13" x14ac:dyDescent="0.2">
      <c r="A16" s="8"/>
      <c r="B16" s="19" t="s">
        <v>999</v>
      </c>
      <c r="C16" s="20">
        <v>9</v>
      </c>
      <c r="D16" s="21" t="s">
        <v>1007</v>
      </c>
      <c r="E16" s="21"/>
      <c r="F16" s="21"/>
      <c r="G16" s="21"/>
      <c r="H16" s="21"/>
      <c r="I16" s="21" t="s">
        <v>1004</v>
      </c>
      <c r="J16" s="22">
        <v>20</v>
      </c>
      <c r="K16" s="23"/>
    </row>
    <row r="17" spans="1:11" x14ac:dyDescent="0.2">
      <c r="A17" s="8"/>
      <c r="B17" s="19" t="s">
        <v>999</v>
      </c>
      <c r="C17" s="20">
        <v>10</v>
      </c>
      <c r="D17" s="21" t="s">
        <v>1011</v>
      </c>
      <c r="E17" s="21" t="s">
        <v>1012</v>
      </c>
      <c r="F17" s="21"/>
      <c r="G17" s="21"/>
      <c r="H17" s="21"/>
      <c r="I17" s="21" t="s">
        <v>1004</v>
      </c>
      <c r="J17" s="22">
        <v>55</v>
      </c>
      <c r="K17" s="23"/>
    </row>
    <row r="18" spans="1:11" x14ac:dyDescent="0.2">
      <c r="A18" s="8"/>
      <c r="B18" s="19" t="s">
        <v>999</v>
      </c>
      <c r="C18" s="20">
        <v>11</v>
      </c>
      <c r="D18" s="21" t="s">
        <v>1013</v>
      </c>
      <c r="E18" s="21"/>
      <c r="F18" s="21"/>
      <c r="G18" s="21"/>
      <c r="H18" s="21"/>
      <c r="I18" s="21" t="s">
        <v>1004</v>
      </c>
      <c r="J18" s="22">
        <v>30</v>
      </c>
      <c r="K18" s="23"/>
    </row>
    <row r="19" spans="1:11" x14ac:dyDescent="0.2">
      <c r="A19" s="8"/>
      <c r="B19" s="19" t="s">
        <v>999</v>
      </c>
      <c r="C19" s="20">
        <v>12</v>
      </c>
      <c r="D19" s="21" t="s">
        <v>1020</v>
      </c>
      <c r="E19" s="21"/>
      <c r="F19" s="21"/>
      <c r="G19" s="21"/>
      <c r="H19" s="21"/>
      <c r="I19" s="21" t="s">
        <v>1004</v>
      </c>
      <c r="J19" s="22">
        <v>30</v>
      </c>
      <c r="K19" s="23"/>
    </row>
    <row r="20" spans="1:11" x14ac:dyDescent="0.2">
      <c r="A20" s="8"/>
      <c r="B20" s="19" t="s">
        <v>999</v>
      </c>
      <c r="C20" s="20">
        <v>13</v>
      </c>
      <c r="D20" s="21" t="s">
        <v>774</v>
      </c>
      <c r="E20" s="21"/>
      <c r="F20" s="21"/>
      <c r="G20" s="21"/>
      <c r="H20" s="21"/>
      <c r="I20" s="21" t="s">
        <v>1004</v>
      </c>
      <c r="J20" s="22">
        <v>350</v>
      </c>
      <c r="K20" s="23"/>
    </row>
    <row r="21" spans="1:11" x14ac:dyDescent="0.2">
      <c r="A21" s="8"/>
      <c r="B21" s="19" t="s">
        <v>999</v>
      </c>
      <c r="C21" s="20">
        <v>14</v>
      </c>
      <c r="D21" s="21" t="s">
        <v>1014</v>
      </c>
      <c r="E21" s="21" t="s">
        <v>1015</v>
      </c>
      <c r="F21" s="21"/>
      <c r="G21" s="21"/>
      <c r="H21" s="21"/>
      <c r="I21" s="21" t="s">
        <v>1016</v>
      </c>
      <c r="J21" s="22">
        <v>41.666666666666664</v>
      </c>
      <c r="K21" s="23"/>
    </row>
    <row r="22" spans="1:11" x14ac:dyDescent="0.2">
      <c r="A22" s="8"/>
      <c r="B22" s="19" t="s">
        <v>999</v>
      </c>
      <c r="C22" s="20">
        <v>15</v>
      </c>
      <c r="D22" s="21" t="s">
        <v>775</v>
      </c>
      <c r="E22" s="21"/>
      <c r="F22" s="21"/>
      <c r="G22" s="21"/>
      <c r="H22" s="21"/>
      <c r="I22" s="21" t="s">
        <v>1004</v>
      </c>
      <c r="J22" s="22">
        <v>0</v>
      </c>
      <c r="K22" s="23"/>
    </row>
    <row r="23" spans="1:11" x14ac:dyDescent="0.2">
      <c r="A23" s="8"/>
      <c r="B23" s="19" t="s">
        <v>999</v>
      </c>
      <c r="C23" s="20">
        <v>16</v>
      </c>
      <c r="D23" s="21" t="s">
        <v>1018</v>
      </c>
      <c r="E23" s="21"/>
      <c r="F23" s="21"/>
      <c r="G23" s="21"/>
      <c r="H23" s="21"/>
      <c r="I23" s="21" t="s">
        <v>1004</v>
      </c>
      <c r="J23" s="22">
        <v>0</v>
      </c>
      <c r="K23" s="23"/>
    </row>
    <row r="24" spans="1:11" x14ac:dyDescent="0.2">
      <c r="A24" s="8"/>
      <c r="B24" s="19" t="s">
        <v>999</v>
      </c>
      <c r="C24" s="20">
        <v>17</v>
      </c>
      <c r="D24" s="21" t="s">
        <v>1010</v>
      </c>
      <c r="E24" s="21"/>
      <c r="F24" s="21"/>
      <c r="G24" s="21"/>
      <c r="H24" s="21"/>
      <c r="I24" s="21" t="s">
        <v>1004</v>
      </c>
      <c r="J24" s="22">
        <v>40</v>
      </c>
      <c r="K24" s="23"/>
    </row>
    <row r="25" spans="1:11" x14ac:dyDescent="0.2">
      <c r="A25" s="8"/>
      <c r="B25" s="19" t="s">
        <v>999</v>
      </c>
      <c r="C25" s="20">
        <v>18</v>
      </c>
      <c r="D25" s="21" t="s">
        <v>1019</v>
      </c>
      <c r="E25" s="21"/>
      <c r="F25" s="21"/>
      <c r="G25" s="21"/>
      <c r="H25" s="21"/>
      <c r="I25" s="21" t="s">
        <v>1004</v>
      </c>
      <c r="J25" s="22">
        <v>55</v>
      </c>
      <c r="K25" s="23"/>
    </row>
    <row r="26" spans="1:11" x14ac:dyDescent="0.2">
      <c r="A26" s="8"/>
      <c r="B26" s="19" t="s">
        <v>999</v>
      </c>
      <c r="C26" s="20">
        <v>19</v>
      </c>
      <c r="D26" s="21" t="s">
        <v>481</v>
      </c>
      <c r="E26" s="21">
        <v>40</v>
      </c>
      <c r="F26" s="21" t="s">
        <v>992</v>
      </c>
      <c r="G26" s="21">
        <v>240</v>
      </c>
      <c r="H26" s="21">
        <v>1</v>
      </c>
      <c r="I26" s="21" t="s">
        <v>997</v>
      </c>
      <c r="J26" s="22">
        <f>G26/E26</f>
        <v>6</v>
      </c>
      <c r="K26" s="23"/>
    </row>
    <row r="27" spans="1:11" x14ac:dyDescent="0.2">
      <c r="A27" s="8"/>
      <c r="B27" s="19" t="s">
        <v>999</v>
      </c>
      <c r="C27" s="20">
        <v>20</v>
      </c>
      <c r="D27" s="21" t="s">
        <v>776</v>
      </c>
      <c r="E27" s="21"/>
      <c r="F27" s="21"/>
      <c r="G27" s="21"/>
      <c r="H27" s="21"/>
      <c r="I27" s="21"/>
      <c r="J27" s="22">
        <v>40</v>
      </c>
      <c r="K27" s="23"/>
    </row>
    <row r="28" spans="1:11" x14ac:dyDescent="0.2">
      <c r="A28" s="8"/>
      <c r="B28" s="19" t="s">
        <v>999</v>
      </c>
      <c r="C28" s="20">
        <v>21</v>
      </c>
      <c r="D28" s="21" t="s">
        <v>480</v>
      </c>
      <c r="E28" s="21"/>
      <c r="F28" s="21"/>
      <c r="G28" s="21">
        <v>83</v>
      </c>
      <c r="H28" s="21">
        <v>1</v>
      </c>
      <c r="I28" s="21" t="s">
        <v>474</v>
      </c>
      <c r="J28" s="22">
        <f>G28/H28</f>
        <v>83</v>
      </c>
      <c r="K28" s="23"/>
    </row>
    <row r="29" spans="1:11" x14ac:dyDescent="0.2">
      <c r="A29" s="8"/>
      <c r="B29" s="19" t="s">
        <v>999</v>
      </c>
      <c r="C29" s="20">
        <v>22</v>
      </c>
      <c r="D29" s="21" t="s">
        <v>368</v>
      </c>
      <c r="E29" s="21"/>
      <c r="F29" s="21"/>
      <c r="G29" s="21"/>
      <c r="H29" s="21"/>
      <c r="I29" s="21"/>
      <c r="J29" s="22">
        <v>12</v>
      </c>
      <c r="K29" s="23"/>
    </row>
    <row r="30" spans="1:11" x14ac:dyDescent="0.2">
      <c r="A30" s="8"/>
      <c r="B30" s="19" t="s">
        <v>999</v>
      </c>
      <c r="C30" s="20">
        <v>23</v>
      </c>
      <c r="D30" s="21" t="s">
        <v>407</v>
      </c>
      <c r="E30" s="21"/>
      <c r="F30" s="21"/>
      <c r="G30" s="21"/>
      <c r="H30" s="21"/>
      <c r="I30" s="21"/>
      <c r="J30" s="22">
        <v>8</v>
      </c>
      <c r="K30" s="23"/>
    </row>
    <row r="31" spans="1:11" x14ac:dyDescent="0.2">
      <c r="A31" s="8"/>
      <c r="B31" s="19" t="s">
        <v>999</v>
      </c>
      <c r="C31" s="20">
        <v>24</v>
      </c>
      <c r="D31" s="21" t="s">
        <v>491</v>
      </c>
      <c r="E31" s="21"/>
      <c r="F31" s="21"/>
      <c r="G31" s="21"/>
      <c r="H31" s="21"/>
      <c r="I31" s="21"/>
      <c r="J31" s="187">
        <v>81.510000000000005</v>
      </c>
      <c r="K31" s="23" t="s">
        <v>489</v>
      </c>
    </row>
    <row r="32" spans="1:11" x14ac:dyDescent="0.2">
      <c r="A32" s="8"/>
      <c r="B32" s="19" t="s">
        <v>999</v>
      </c>
      <c r="C32" s="20">
        <v>25</v>
      </c>
      <c r="D32" s="21" t="s">
        <v>749</v>
      </c>
      <c r="E32" s="21"/>
      <c r="F32" s="21"/>
      <c r="G32" s="21"/>
      <c r="H32" s="21"/>
      <c r="I32" s="21"/>
      <c r="J32" s="187">
        <v>8</v>
      </c>
      <c r="K32" s="23" t="s">
        <v>489</v>
      </c>
    </row>
    <row r="33" spans="1:11" x14ac:dyDescent="0.2">
      <c r="A33" s="8"/>
      <c r="B33" s="19" t="s">
        <v>999</v>
      </c>
      <c r="C33" s="20">
        <v>26</v>
      </c>
      <c r="D33" s="21" t="s">
        <v>777</v>
      </c>
      <c r="E33" s="21"/>
      <c r="F33" s="21"/>
      <c r="G33" s="21"/>
      <c r="H33" s="21"/>
      <c r="I33" s="21"/>
      <c r="J33" s="22"/>
      <c r="K33" s="23"/>
    </row>
    <row r="34" spans="1:11" x14ac:dyDescent="0.2">
      <c r="A34" s="8"/>
      <c r="B34" s="19" t="s">
        <v>8</v>
      </c>
      <c r="C34" s="20">
        <v>27</v>
      </c>
      <c r="D34" s="21" t="s">
        <v>778</v>
      </c>
      <c r="E34" s="21"/>
      <c r="F34" s="21"/>
      <c r="G34" s="21"/>
      <c r="H34" s="21"/>
      <c r="I34" s="21" t="s">
        <v>9</v>
      </c>
      <c r="J34" s="22">
        <v>18</v>
      </c>
      <c r="K34" s="23"/>
    </row>
    <row r="35" spans="1:11" x14ac:dyDescent="0.2">
      <c r="A35" s="8"/>
      <c r="B35" s="19" t="s">
        <v>8</v>
      </c>
      <c r="C35" s="20">
        <v>28</v>
      </c>
      <c r="D35" s="21" t="s">
        <v>10</v>
      </c>
      <c r="E35" s="21"/>
      <c r="F35" s="21"/>
      <c r="G35" s="21">
        <v>20</v>
      </c>
      <c r="H35" s="21">
        <v>1</v>
      </c>
      <c r="I35" s="21" t="s">
        <v>474</v>
      </c>
      <c r="J35" s="22">
        <f>G35/H35</f>
        <v>20</v>
      </c>
      <c r="K35" s="23"/>
    </row>
    <row r="36" spans="1:11" x14ac:dyDescent="0.2">
      <c r="A36" s="8"/>
      <c r="B36" s="19" t="s">
        <v>8</v>
      </c>
      <c r="C36" s="20">
        <v>29</v>
      </c>
      <c r="D36" s="21" t="s">
        <v>11</v>
      </c>
      <c r="E36" s="21"/>
      <c r="F36" s="21"/>
      <c r="G36" s="21"/>
      <c r="H36" s="21"/>
      <c r="I36" s="21" t="s">
        <v>9</v>
      </c>
      <c r="J36" s="22">
        <v>18.7</v>
      </c>
      <c r="K36" s="23"/>
    </row>
    <row r="37" spans="1:11" x14ac:dyDescent="0.2">
      <c r="A37" s="8"/>
      <c r="B37" s="19" t="s">
        <v>8</v>
      </c>
      <c r="C37" s="20">
        <v>30</v>
      </c>
      <c r="D37" s="21" t="s">
        <v>12</v>
      </c>
      <c r="E37" s="21"/>
      <c r="F37" s="21"/>
      <c r="G37" s="21"/>
      <c r="H37" s="21"/>
      <c r="I37" s="21" t="s">
        <v>9</v>
      </c>
      <c r="J37" s="22">
        <v>29.9</v>
      </c>
      <c r="K37" s="23"/>
    </row>
    <row r="38" spans="1:11" x14ac:dyDescent="0.2">
      <c r="A38" s="8"/>
      <c r="B38" s="19" t="s">
        <v>8</v>
      </c>
      <c r="C38" s="20">
        <v>31</v>
      </c>
      <c r="D38" s="21" t="s">
        <v>13</v>
      </c>
      <c r="E38" s="21"/>
      <c r="F38" s="21"/>
      <c r="G38" s="21"/>
      <c r="H38" s="21"/>
      <c r="I38" s="21" t="s">
        <v>9</v>
      </c>
      <c r="J38" s="22">
        <v>80.3</v>
      </c>
      <c r="K38" s="23"/>
    </row>
    <row r="39" spans="1:11" x14ac:dyDescent="0.2">
      <c r="A39" s="8"/>
      <c r="B39" s="19" t="s">
        <v>8</v>
      </c>
      <c r="C39" s="20">
        <v>32</v>
      </c>
      <c r="D39" s="21"/>
      <c r="E39" s="21"/>
      <c r="F39" s="21"/>
      <c r="G39" s="21"/>
      <c r="H39" s="21"/>
      <c r="I39" s="21"/>
      <c r="J39" s="22"/>
      <c r="K39" s="23"/>
    </row>
    <row r="40" spans="1:11" x14ac:dyDescent="0.2">
      <c r="A40" s="8"/>
      <c r="B40" s="19" t="s">
        <v>8</v>
      </c>
      <c r="C40" s="20">
        <v>33</v>
      </c>
      <c r="D40" s="21"/>
      <c r="E40" s="21"/>
      <c r="F40" s="21"/>
      <c r="G40" s="21"/>
      <c r="H40" s="21"/>
      <c r="I40" s="21"/>
      <c r="J40" s="22"/>
      <c r="K40" s="23"/>
    </row>
    <row r="41" spans="1:11" x14ac:dyDescent="0.2">
      <c r="A41" s="8"/>
      <c r="B41" s="19" t="s">
        <v>1021</v>
      </c>
      <c r="C41" s="20">
        <v>34</v>
      </c>
      <c r="D41" s="21" t="s">
        <v>1022</v>
      </c>
      <c r="E41" s="21"/>
      <c r="F41" s="21"/>
      <c r="G41" s="21"/>
      <c r="H41" s="21"/>
      <c r="I41" s="21" t="s">
        <v>1023</v>
      </c>
      <c r="J41" s="22">
        <v>72.72</v>
      </c>
      <c r="K41" s="23"/>
    </row>
    <row r="42" spans="1:11" x14ac:dyDescent="0.2">
      <c r="A42" s="8"/>
      <c r="B42" s="19" t="s">
        <v>1021</v>
      </c>
      <c r="C42" s="20">
        <v>35</v>
      </c>
      <c r="D42" s="21" t="s">
        <v>1024</v>
      </c>
      <c r="E42" s="21"/>
      <c r="F42" s="21"/>
      <c r="G42" s="21"/>
      <c r="H42" s="21"/>
      <c r="I42" s="21" t="s">
        <v>1023</v>
      </c>
      <c r="J42" s="22">
        <v>65</v>
      </c>
      <c r="K42" s="23"/>
    </row>
    <row r="43" spans="1:11" x14ac:dyDescent="0.2">
      <c r="A43" s="8"/>
      <c r="B43" s="19" t="s">
        <v>1021</v>
      </c>
      <c r="C43" s="20">
        <v>36</v>
      </c>
      <c r="D43" s="21"/>
      <c r="E43" s="21"/>
      <c r="F43" s="21"/>
      <c r="G43" s="21"/>
      <c r="H43" s="21"/>
      <c r="I43" s="21"/>
      <c r="J43" s="22"/>
      <c r="K43" s="23"/>
    </row>
    <row r="44" spans="1:11" x14ac:dyDescent="0.2">
      <c r="A44" s="8"/>
      <c r="B44" s="19" t="s">
        <v>1021</v>
      </c>
      <c r="C44" s="20">
        <v>37</v>
      </c>
      <c r="D44" s="21"/>
      <c r="E44" s="21"/>
      <c r="F44" s="21"/>
      <c r="G44" s="21"/>
      <c r="H44" s="21"/>
      <c r="I44" s="21"/>
      <c r="J44" s="22"/>
      <c r="K44" s="23"/>
    </row>
    <row r="45" spans="1:11" x14ac:dyDescent="0.2">
      <c r="A45" s="8"/>
      <c r="B45" s="19" t="s">
        <v>1021</v>
      </c>
      <c r="C45" s="20">
        <v>38</v>
      </c>
      <c r="D45" s="21"/>
      <c r="E45" s="21"/>
      <c r="F45" s="21"/>
      <c r="G45" s="21"/>
      <c r="H45" s="21"/>
      <c r="I45" s="21"/>
      <c r="J45" s="22"/>
      <c r="K45" s="23"/>
    </row>
    <row r="46" spans="1:11" x14ac:dyDescent="0.2">
      <c r="A46" s="8"/>
      <c r="B46" s="19" t="s">
        <v>0</v>
      </c>
      <c r="C46" s="20">
        <v>39</v>
      </c>
      <c r="D46" s="21" t="s">
        <v>1</v>
      </c>
      <c r="E46" s="21"/>
      <c r="F46" s="21"/>
      <c r="G46" s="21"/>
      <c r="H46" s="21"/>
      <c r="I46" s="21" t="s">
        <v>1004</v>
      </c>
      <c r="J46" s="22">
        <v>350</v>
      </c>
      <c r="K46" s="23"/>
    </row>
    <row r="47" spans="1:11" x14ac:dyDescent="0.2">
      <c r="A47" s="8"/>
      <c r="B47" s="19" t="s">
        <v>0</v>
      </c>
      <c r="C47" s="20">
        <v>40</v>
      </c>
      <c r="D47" s="21"/>
      <c r="E47" s="21"/>
      <c r="F47" s="21"/>
      <c r="G47" s="21"/>
      <c r="H47" s="21"/>
      <c r="I47" s="21" t="s">
        <v>1023</v>
      </c>
      <c r="J47" s="22"/>
      <c r="K47" s="23"/>
    </row>
    <row r="48" spans="1:11" x14ac:dyDescent="0.2">
      <c r="A48" s="8"/>
      <c r="B48" s="19" t="s">
        <v>0</v>
      </c>
      <c r="C48" s="20">
        <v>41</v>
      </c>
      <c r="D48" s="21"/>
      <c r="E48" s="21"/>
      <c r="F48" s="21"/>
      <c r="G48" s="21"/>
      <c r="H48" s="21"/>
      <c r="I48" s="21"/>
      <c r="J48" s="22"/>
      <c r="K48" s="23"/>
    </row>
    <row r="49" spans="1:11" x14ac:dyDescent="0.2">
      <c r="A49" s="8"/>
      <c r="B49" s="19" t="s">
        <v>0</v>
      </c>
      <c r="C49" s="20">
        <v>42</v>
      </c>
      <c r="D49" s="21"/>
      <c r="E49" s="21"/>
      <c r="F49" s="21"/>
      <c r="G49" s="21"/>
      <c r="H49" s="21"/>
      <c r="I49" s="21"/>
      <c r="J49" s="22"/>
      <c r="K49" s="23"/>
    </row>
    <row r="50" spans="1:11" x14ac:dyDescent="0.2">
      <c r="A50" s="8"/>
      <c r="B50" s="19" t="s">
        <v>0</v>
      </c>
      <c r="C50" s="20">
        <v>43</v>
      </c>
      <c r="D50" s="21"/>
      <c r="E50" s="21"/>
      <c r="F50" s="21"/>
      <c r="G50" s="21"/>
      <c r="H50" s="21"/>
      <c r="I50" s="21"/>
      <c r="J50" s="22"/>
      <c r="K50" s="23"/>
    </row>
    <row r="51" spans="1:11" x14ac:dyDescent="0.2">
      <c r="A51" s="8"/>
      <c r="B51" s="19" t="s">
        <v>469</v>
      </c>
      <c r="C51" s="20">
        <v>44</v>
      </c>
      <c r="D51" s="21" t="s">
        <v>779</v>
      </c>
      <c r="E51" s="21"/>
      <c r="F51" s="21"/>
      <c r="G51" s="21"/>
      <c r="H51" s="21"/>
      <c r="I51" s="21" t="s">
        <v>1023</v>
      </c>
      <c r="J51" s="22"/>
      <c r="K51" s="23"/>
    </row>
    <row r="52" spans="1:11" x14ac:dyDescent="0.2">
      <c r="A52" s="8"/>
      <c r="B52" s="19" t="s">
        <v>469</v>
      </c>
      <c r="C52" s="20">
        <v>45</v>
      </c>
      <c r="D52" s="21" t="s">
        <v>4</v>
      </c>
      <c r="E52" s="21"/>
      <c r="F52" s="21"/>
      <c r="G52" s="21">
        <v>3.2</v>
      </c>
      <c r="H52" s="21">
        <v>1</v>
      </c>
      <c r="I52" s="21" t="s">
        <v>475</v>
      </c>
      <c r="J52" s="22">
        <f t="shared" ref="J52:J57" si="0">G52/H52</f>
        <v>3.2</v>
      </c>
      <c r="K52" s="23"/>
    </row>
    <row r="53" spans="1:11" x14ac:dyDescent="0.2">
      <c r="A53" s="8"/>
      <c r="B53" s="19" t="s">
        <v>469</v>
      </c>
      <c r="C53" s="20">
        <v>46</v>
      </c>
      <c r="D53" s="21" t="s">
        <v>476</v>
      </c>
      <c r="E53" s="21"/>
      <c r="F53" s="21"/>
      <c r="G53" s="21">
        <v>65</v>
      </c>
      <c r="H53" s="21">
        <v>1</v>
      </c>
      <c r="I53" s="21" t="s">
        <v>477</v>
      </c>
      <c r="J53" s="22">
        <f t="shared" si="0"/>
        <v>65</v>
      </c>
      <c r="K53" s="23"/>
    </row>
    <row r="54" spans="1:11" x14ac:dyDescent="0.2">
      <c r="A54" s="8"/>
      <c r="B54" s="19" t="s">
        <v>469</v>
      </c>
      <c r="C54" s="20">
        <v>47</v>
      </c>
      <c r="D54" s="21" t="s">
        <v>472</v>
      </c>
      <c r="E54" s="21"/>
      <c r="F54" s="21"/>
      <c r="G54" s="21">
        <v>108</v>
      </c>
      <c r="H54" s="21">
        <v>1</v>
      </c>
      <c r="I54" s="21" t="s">
        <v>1023</v>
      </c>
      <c r="J54" s="22">
        <f t="shared" si="0"/>
        <v>108</v>
      </c>
      <c r="K54" s="23"/>
    </row>
    <row r="55" spans="1:11" x14ac:dyDescent="0.2">
      <c r="A55" s="8"/>
      <c r="B55" s="19" t="s">
        <v>469</v>
      </c>
      <c r="C55" s="20">
        <v>48</v>
      </c>
      <c r="D55" s="21" t="s">
        <v>473</v>
      </c>
      <c r="E55" s="21"/>
      <c r="F55" s="21"/>
      <c r="G55" s="21">
        <v>42</v>
      </c>
      <c r="H55" s="21">
        <v>1</v>
      </c>
      <c r="I55" s="21" t="s">
        <v>474</v>
      </c>
      <c r="J55" s="22">
        <f t="shared" si="0"/>
        <v>42</v>
      </c>
      <c r="K55" s="23"/>
    </row>
    <row r="56" spans="1:11" x14ac:dyDescent="0.2">
      <c r="A56" s="8"/>
      <c r="B56" s="19" t="s">
        <v>469</v>
      </c>
      <c r="C56" s="20">
        <v>49</v>
      </c>
      <c r="D56" s="21" t="s">
        <v>3</v>
      </c>
      <c r="E56" s="21"/>
      <c r="F56" s="21"/>
      <c r="G56" s="21">
        <v>11</v>
      </c>
      <c r="H56" s="21">
        <v>1</v>
      </c>
      <c r="I56" s="21" t="s">
        <v>1023</v>
      </c>
      <c r="J56" s="22">
        <f t="shared" si="0"/>
        <v>11</v>
      </c>
      <c r="K56" s="23"/>
    </row>
    <row r="57" spans="1:11" x14ac:dyDescent="0.2">
      <c r="A57" s="8"/>
      <c r="B57" s="19" t="s">
        <v>469</v>
      </c>
      <c r="C57" s="20">
        <v>50</v>
      </c>
      <c r="D57" s="21" t="s">
        <v>471</v>
      </c>
      <c r="E57" s="21"/>
      <c r="F57" s="21"/>
      <c r="G57" s="21">
        <v>15</v>
      </c>
      <c r="H57" s="21">
        <v>1</v>
      </c>
      <c r="I57" s="21" t="s">
        <v>1023</v>
      </c>
      <c r="J57" s="22">
        <f t="shared" si="0"/>
        <v>15</v>
      </c>
      <c r="K57" s="23"/>
    </row>
    <row r="58" spans="1:11" x14ac:dyDescent="0.2">
      <c r="A58" s="8"/>
      <c r="B58" s="19" t="s">
        <v>469</v>
      </c>
      <c r="C58" s="20">
        <v>51</v>
      </c>
      <c r="D58" s="21" t="s">
        <v>7</v>
      </c>
      <c r="E58" s="21"/>
      <c r="F58" s="21"/>
      <c r="G58" s="21"/>
      <c r="H58" s="21"/>
      <c r="I58" s="21" t="s">
        <v>1023</v>
      </c>
      <c r="J58" s="22"/>
      <c r="K58" s="23"/>
    </row>
    <row r="59" spans="1:11" x14ac:dyDescent="0.2">
      <c r="A59" s="8"/>
      <c r="B59" s="19" t="s">
        <v>469</v>
      </c>
      <c r="C59" s="20">
        <v>52</v>
      </c>
      <c r="D59" s="21" t="s">
        <v>6</v>
      </c>
      <c r="E59" s="21"/>
      <c r="F59" s="21"/>
      <c r="G59" s="21"/>
      <c r="H59" s="21"/>
      <c r="I59" s="21" t="s">
        <v>1023</v>
      </c>
      <c r="J59" s="22"/>
      <c r="K59" s="23"/>
    </row>
    <row r="60" spans="1:11" x14ac:dyDescent="0.2">
      <c r="A60" s="8"/>
      <c r="B60" s="19" t="s">
        <v>469</v>
      </c>
      <c r="C60" s="20">
        <v>53</v>
      </c>
      <c r="D60" s="21" t="s">
        <v>478</v>
      </c>
      <c r="E60" s="21"/>
      <c r="F60" s="21"/>
      <c r="G60" s="21">
        <v>19.399999999999999</v>
      </c>
      <c r="H60" s="21">
        <v>1</v>
      </c>
      <c r="I60" s="21" t="s">
        <v>474</v>
      </c>
      <c r="J60" s="22">
        <f>G60/H60</f>
        <v>19.399999999999999</v>
      </c>
      <c r="K60" s="23"/>
    </row>
    <row r="61" spans="1:11" x14ac:dyDescent="0.2">
      <c r="A61" s="8"/>
      <c r="B61" s="19" t="s">
        <v>469</v>
      </c>
      <c r="C61" s="20">
        <v>54</v>
      </c>
      <c r="D61" s="21" t="s">
        <v>5</v>
      </c>
      <c r="E61" s="21"/>
      <c r="F61" s="21"/>
      <c r="G61" s="21"/>
      <c r="H61" s="21"/>
      <c r="I61" s="21" t="s">
        <v>1023</v>
      </c>
      <c r="J61" s="22"/>
      <c r="K61" s="23"/>
    </row>
    <row r="62" spans="1:11" x14ac:dyDescent="0.2">
      <c r="A62" s="8"/>
      <c r="B62" s="19" t="s">
        <v>469</v>
      </c>
      <c r="C62" s="20">
        <v>55</v>
      </c>
      <c r="D62" s="21" t="s">
        <v>2</v>
      </c>
      <c r="E62" s="21"/>
      <c r="F62" s="21"/>
      <c r="G62" s="21"/>
      <c r="H62" s="21"/>
      <c r="I62" s="21" t="s">
        <v>1023</v>
      </c>
      <c r="J62" s="22"/>
      <c r="K62" s="23"/>
    </row>
    <row r="63" spans="1:11" x14ac:dyDescent="0.2">
      <c r="A63" s="8"/>
      <c r="B63" s="19" t="s">
        <v>998</v>
      </c>
      <c r="C63" s="20">
        <v>56</v>
      </c>
      <c r="D63" s="21" t="s">
        <v>416</v>
      </c>
      <c r="E63" s="21"/>
      <c r="F63" s="21"/>
      <c r="G63" s="21"/>
      <c r="H63" s="21"/>
      <c r="I63" s="21"/>
      <c r="J63" s="22">
        <v>11</v>
      </c>
      <c r="K63" s="23"/>
    </row>
    <row r="64" spans="1:11" x14ac:dyDescent="0.2">
      <c r="A64" s="8"/>
      <c r="B64" s="19" t="s">
        <v>998</v>
      </c>
      <c r="C64" s="20">
        <v>57</v>
      </c>
      <c r="D64" s="21" t="s">
        <v>483</v>
      </c>
      <c r="E64" s="21" t="s">
        <v>14</v>
      </c>
      <c r="F64" s="21" t="s">
        <v>15</v>
      </c>
      <c r="G64" s="21">
        <v>675</v>
      </c>
      <c r="H64" s="21">
        <v>5</v>
      </c>
      <c r="I64" s="21" t="s">
        <v>482</v>
      </c>
      <c r="J64" s="22">
        <f>G64/H64</f>
        <v>135</v>
      </c>
      <c r="K64" s="23"/>
    </row>
    <row r="65" spans="1:11" x14ac:dyDescent="0.2">
      <c r="A65" s="8"/>
      <c r="B65" s="19" t="s">
        <v>998</v>
      </c>
      <c r="C65" s="20">
        <v>58</v>
      </c>
      <c r="D65" s="21" t="s">
        <v>484</v>
      </c>
      <c r="E65" s="21" t="s">
        <v>485</v>
      </c>
      <c r="F65" s="21" t="s">
        <v>486</v>
      </c>
      <c r="G65" s="21">
        <v>9.1999999999999993</v>
      </c>
      <c r="H65" s="21">
        <v>1</v>
      </c>
      <c r="I65" s="21" t="s">
        <v>482</v>
      </c>
      <c r="J65" s="22">
        <f>G65/H65</f>
        <v>9.1999999999999993</v>
      </c>
      <c r="K65" s="23"/>
    </row>
    <row r="66" spans="1:11" x14ac:dyDescent="0.2">
      <c r="A66" s="8"/>
      <c r="B66" s="19" t="s">
        <v>998</v>
      </c>
      <c r="C66" s="20">
        <v>59</v>
      </c>
      <c r="D66" s="21" t="s">
        <v>17</v>
      </c>
      <c r="E66" s="21"/>
      <c r="F66" s="21"/>
      <c r="G66" s="21"/>
      <c r="H66" s="21"/>
      <c r="I66" s="21" t="s">
        <v>16</v>
      </c>
      <c r="J66" s="22">
        <v>1.55</v>
      </c>
      <c r="K66" s="23"/>
    </row>
    <row r="67" spans="1:11" x14ac:dyDescent="0.2">
      <c r="A67" s="8"/>
      <c r="B67" s="19" t="s">
        <v>998</v>
      </c>
      <c r="C67" s="20">
        <v>60</v>
      </c>
      <c r="D67" s="21" t="s">
        <v>446</v>
      </c>
      <c r="E67" s="21"/>
      <c r="F67" s="21"/>
      <c r="G67" s="21"/>
      <c r="H67" s="21"/>
      <c r="I67" s="21"/>
      <c r="J67" s="22">
        <v>23.75</v>
      </c>
      <c r="K67" s="23"/>
    </row>
    <row r="68" spans="1:11" x14ac:dyDescent="0.2">
      <c r="A68" s="8"/>
      <c r="B68" s="19" t="s">
        <v>998</v>
      </c>
      <c r="C68" s="20">
        <v>61</v>
      </c>
      <c r="D68" s="21"/>
      <c r="E68" s="21"/>
      <c r="F68" s="21"/>
      <c r="G68" s="21"/>
      <c r="H68" s="21"/>
      <c r="I68" s="21"/>
      <c r="J68" s="22"/>
      <c r="K68" s="23"/>
    </row>
    <row r="69" spans="1:11" x14ac:dyDescent="0.2">
      <c r="A69" s="8"/>
      <c r="B69" s="19" t="s">
        <v>998</v>
      </c>
      <c r="C69" s="20">
        <v>62</v>
      </c>
      <c r="D69" s="21"/>
      <c r="E69" s="21"/>
      <c r="F69" s="21"/>
      <c r="G69" s="21"/>
      <c r="H69" s="21"/>
      <c r="I69" s="21"/>
      <c r="J69" s="22"/>
      <c r="K69" s="23"/>
    </row>
    <row r="70" spans="1:11" x14ac:dyDescent="0.2">
      <c r="A70" s="8"/>
      <c r="B70" s="19" t="s">
        <v>998</v>
      </c>
      <c r="C70" s="20">
        <v>63</v>
      </c>
      <c r="D70" s="21"/>
      <c r="E70" s="21"/>
      <c r="F70" s="21"/>
      <c r="G70" s="21"/>
      <c r="H70" s="21"/>
      <c r="I70" s="21"/>
      <c r="J70" s="22"/>
      <c r="K70" s="23"/>
    </row>
    <row r="71" spans="1:11" x14ac:dyDescent="0.2">
      <c r="A71" s="8"/>
      <c r="B71" s="19" t="s">
        <v>998</v>
      </c>
      <c r="C71" s="20">
        <v>64</v>
      </c>
      <c r="D71" s="21"/>
      <c r="E71" s="21"/>
      <c r="F71" s="21"/>
      <c r="G71" s="21"/>
      <c r="H71" s="21"/>
      <c r="I71" s="21"/>
      <c r="J71" s="22"/>
      <c r="K71" s="23"/>
    </row>
    <row r="72" spans="1:11" x14ac:dyDescent="0.2">
      <c r="A72" s="8"/>
      <c r="B72" s="19" t="s">
        <v>996</v>
      </c>
      <c r="C72" s="20">
        <v>65</v>
      </c>
      <c r="D72" s="21" t="s">
        <v>780</v>
      </c>
      <c r="E72" s="21"/>
      <c r="F72" s="21"/>
      <c r="G72" s="21">
        <v>1038</v>
      </c>
      <c r="H72" s="21">
        <v>1000</v>
      </c>
      <c r="I72" s="21" t="s">
        <v>474</v>
      </c>
      <c r="J72" s="22">
        <f>G72/H72</f>
        <v>1.038</v>
      </c>
      <c r="K72" s="23" t="s">
        <v>405</v>
      </c>
    </row>
    <row r="73" spans="1:11" x14ac:dyDescent="0.2">
      <c r="A73" s="8"/>
      <c r="B73" s="19" t="s">
        <v>996</v>
      </c>
      <c r="C73" s="20">
        <v>66</v>
      </c>
      <c r="D73" s="21" t="s">
        <v>18</v>
      </c>
      <c r="E73" s="21" t="s">
        <v>19</v>
      </c>
      <c r="F73" s="21"/>
      <c r="G73" s="21"/>
      <c r="H73" s="21"/>
      <c r="I73" s="21"/>
      <c r="J73" s="22">
        <v>1.1000000000000001</v>
      </c>
      <c r="K73" s="23"/>
    </row>
    <row r="74" spans="1:11" x14ac:dyDescent="0.2">
      <c r="A74" s="8"/>
      <c r="B74" s="19" t="s">
        <v>996</v>
      </c>
      <c r="C74" s="20">
        <v>67</v>
      </c>
      <c r="D74" s="21" t="s">
        <v>449</v>
      </c>
      <c r="E74" s="21" t="s">
        <v>450</v>
      </c>
      <c r="F74" s="21"/>
      <c r="G74" s="21"/>
      <c r="H74" s="21"/>
      <c r="I74" s="21" t="s">
        <v>16</v>
      </c>
      <c r="J74" s="22">
        <v>3.96</v>
      </c>
      <c r="K74" s="23"/>
    </row>
    <row r="75" spans="1:11" x14ac:dyDescent="0.2">
      <c r="A75" s="8"/>
      <c r="B75" s="19" t="s">
        <v>996</v>
      </c>
      <c r="C75" s="20">
        <v>68</v>
      </c>
      <c r="D75" s="21" t="s">
        <v>20</v>
      </c>
      <c r="E75" s="21" t="s">
        <v>21</v>
      </c>
      <c r="F75" s="21"/>
      <c r="G75" s="21"/>
      <c r="H75" s="21"/>
      <c r="I75" s="21" t="s">
        <v>16</v>
      </c>
      <c r="J75" s="22">
        <v>0.7</v>
      </c>
      <c r="K75" s="23"/>
    </row>
    <row r="76" spans="1:11" x14ac:dyDescent="0.2">
      <c r="A76" s="8"/>
      <c r="B76" s="19" t="s">
        <v>996</v>
      </c>
      <c r="C76" s="20">
        <v>69</v>
      </c>
      <c r="D76" s="21" t="s">
        <v>22</v>
      </c>
      <c r="E76" s="21" t="s">
        <v>23</v>
      </c>
      <c r="F76" s="21"/>
      <c r="G76" s="21"/>
      <c r="H76" s="21"/>
      <c r="I76" s="21" t="s">
        <v>16</v>
      </c>
      <c r="J76" s="22">
        <v>0.6</v>
      </c>
      <c r="K76" s="23"/>
    </row>
    <row r="77" spans="1:11" x14ac:dyDescent="0.2">
      <c r="A77" s="8"/>
      <c r="B77" s="19" t="s">
        <v>996</v>
      </c>
      <c r="C77" s="20">
        <v>70</v>
      </c>
      <c r="D77" s="21" t="s">
        <v>24</v>
      </c>
      <c r="E77" s="21" t="s">
        <v>25</v>
      </c>
      <c r="F77" s="21"/>
      <c r="G77" s="21"/>
      <c r="H77" s="21"/>
      <c r="I77" s="21" t="s">
        <v>16</v>
      </c>
      <c r="J77" s="22">
        <v>0.54</v>
      </c>
      <c r="K77" s="23"/>
    </row>
    <row r="78" spans="1:11" x14ac:dyDescent="0.2">
      <c r="A78" s="8"/>
      <c r="B78" s="19" t="s">
        <v>996</v>
      </c>
      <c r="C78" s="20">
        <v>71</v>
      </c>
      <c r="D78" s="21" t="s">
        <v>935</v>
      </c>
      <c r="E78" s="21" t="s">
        <v>26</v>
      </c>
      <c r="F78" s="21" t="s">
        <v>27</v>
      </c>
      <c r="G78" s="21"/>
      <c r="H78" s="21"/>
      <c r="I78" s="21" t="s">
        <v>16</v>
      </c>
      <c r="J78" s="22">
        <v>0.75</v>
      </c>
      <c r="K78" s="23"/>
    </row>
    <row r="79" spans="1:11" x14ac:dyDescent="0.2">
      <c r="A79" s="8"/>
      <c r="B79" s="19" t="s">
        <v>996</v>
      </c>
      <c r="C79" s="20">
        <v>72</v>
      </c>
      <c r="D79" s="21" t="s">
        <v>936</v>
      </c>
      <c r="E79" s="21" t="s">
        <v>28</v>
      </c>
      <c r="F79" s="21"/>
      <c r="G79" s="21"/>
      <c r="H79" s="21"/>
      <c r="I79" s="21" t="s">
        <v>16</v>
      </c>
      <c r="J79" s="22">
        <v>0.47699999999999998</v>
      </c>
      <c r="K79" s="23"/>
    </row>
    <row r="80" spans="1:11" x14ac:dyDescent="0.2">
      <c r="A80" s="8"/>
      <c r="B80" s="19" t="s">
        <v>996</v>
      </c>
      <c r="C80" s="20">
        <v>73</v>
      </c>
      <c r="D80" s="21" t="s">
        <v>29</v>
      </c>
      <c r="E80" s="21" t="s">
        <v>30</v>
      </c>
      <c r="F80" s="21"/>
      <c r="G80" s="21"/>
      <c r="H80" s="21"/>
      <c r="I80" s="21" t="s">
        <v>16</v>
      </c>
      <c r="J80" s="22">
        <v>0.61817999999999995</v>
      </c>
      <c r="K80" s="23"/>
    </row>
    <row r="81" spans="1:11" x14ac:dyDescent="0.2">
      <c r="A81" s="8"/>
      <c r="B81" s="19" t="s">
        <v>996</v>
      </c>
      <c r="C81" s="20">
        <v>74</v>
      </c>
      <c r="D81" s="21" t="s">
        <v>937</v>
      </c>
      <c r="E81" s="21" t="s">
        <v>31</v>
      </c>
      <c r="F81" s="21"/>
      <c r="G81" s="21">
        <v>70</v>
      </c>
      <c r="H81" s="21">
        <v>1000</v>
      </c>
      <c r="I81" s="21" t="s">
        <v>488</v>
      </c>
      <c r="J81" s="22">
        <f>G81/H81</f>
        <v>7.0000000000000007E-2</v>
      </c>
      <c r="K81" s="23" t="s">
        <v>487</v>
      </c>
    </row>
    <row r="82" spans="1:11" x14ac:dyDescent="0.2">
      <c r="A82" s="8"/>
      <c r="B82" s="19" t="s">
        <v>996</v>
      </c>
      <c r="C82" s="20">
        <v>75</v>
      </c>
      <c r="D82" s="21" t="s">
        <v>32</v>
      </c>
      <c r="E82" s="21" t="s">
        <v>33</v>
      </c>
      <c r="F82" s="21"/>
      <c r="G82" s="21">
        <v>110</v>
      </c>
      <c r="H82" s="21">
        <v>1000</v>
      </c>
      <c r="I82" s="21" t="s">
        <v>488</v>
      </c>
      <c r="J82" s="22">
        <f>G82/H82</f>
        <v>0.11</v>
      </c>
      <c r="K82" s="23" t="s">
        <v>487</v>
      </c>
    </row>
    <row r="83" spans="1:11" x14ac:dyDescent="0.2">
      <c r="A83" s="8"/>
      <c r="B83" s="19" t="s">
        <v>996</v>
      </c>
      <c r="C83" s="20">
        <v>76</v>
      </c>
      <c r="D83" s="21" t="s">
        <v>417</v>
      </c>
      <c r="E83" s="21"/>
      <c r="F83" s="21"/>
      <c r="G83" s="21"/>
      <c r="H83" s="21"/>
      <c r="I83" s="21"/>
      <c r="J83" s="22">
        <v>2</v>
      </c>
      <c r="K83" s="23"/>
    </row>
    <row r="84" spans="1:11" x14ac:dyDescent="0.2">
      <c r="A84" s="8"/>
      <c r="B84" s="19" t="s">
        <v>996</v>
      </c>
      <c r="C84" s="20">
        <v>77</v>
      </c>
      <c r="D84" s="21" t="s">
        <v>34</v>
      </c>
      <c r="E84" s="21" t="s">
        <v>35</v>
      </c>
      <c r="F84" s="21"/>
      <c r="G84" s="21"/>
      <c r="H84" s="21"/>
      <c r="I84" s="21" t="s">
        <v>16</v>
      </c>
      <c r="J84" s="187">
        <v>0.88</v>
      </c>
      <c r="K84" s="23"/>
    </row>
    <row r="85" spans="1:11" x14ac:dyDescent="0.2">
      <c r="A85" s="8"/>
      <c r="B85" s="19" t="s">
        <v>996</v>
      </c>
      <c r="C85" s="20">
        <v>78</v>
      </c>
      <c r="D85" s="21" t="s">
        <v>36</v>
      </c>
      <c r="E85" s="21" t="s">
        <v>37</v>
      </c>
      <c r="F85" s="21"/>
      <c r="G85" s="21"/>
      <c r="H85" s="21"/>
      <c r="I85" s="21" t="s">
        <v>16</v>
      </c>
      <c r="J85" s="22">
        <v>0.50600000000000001</v>
      </c>
      <c r="K85" s="23"/>
    </row>
    <row r="86" spans="1:11" x14ac:dyDescent="0.2">
      <c r="A86" s="8"/>
      <c r="B86" s="19" t="s">
        <v>996</v>
      </c>
      <c r="C86" s="20">
        <v>79</v>
      </c>
      <c r="D86" s="21" t="s">
        <v>938</v>
      </c>
      <c r="E86" s="21" t="s">
        <v>38</v>
      </c>
      <c r="F86" s="21"/>
      <c r="G86" s="21"/>
      <c r="H86" s="21"/>
      <c r="I86" s="21" t="s">
        <v>16</v>
      </c>
      <c r="J86" s="22">
        <v>0.70540000000000003</v>
      </c>
      <c r="K86" s="23"/>
    </row>
    <row r="87" spans="1:11" x14ac:dyDescent="0.2">
      <c r="A87" s="8"/>
      <c r="B87" s="19" t="s">
        <v>996</v>
      </c>
      <c r="C87" s="20">
        <v>80</v>
      </c>
      <c r="D87" s="21" t="s">
        <v>39</v>
      </c>
      <c r="E87" s="21"/>
      <c r="F87" s="21"/>
      <c r="G87" s="21"/>
      <c r="H87" s="21"/>
      <c r="I87" s="21" t="s">
        <v>16</v>
      </c>
      <c r="J87" s="22">
        <v>0.1303</v>
      </c>
      <c r="K87" s="23"/>
    </row>
    <row r="88" spans="1:11" x14ac:dyDescent="0.2">
      <c r="A88" s="8"/>
      <c r="B88" s="19" t="s">
        <v>996</v>
      </c>
      <c r="C88" s="20">
        <v>81</v>
      </c>
      <c r="D88" s="21" t="s">
        <v>939</v>
      </c>
      <c r="E88" s="21"/>
      <c r="F88" s="21"/>
      <c r="G88" s="21"/>
      <c r="H88" s="21"/>
      <c r="I88" s="21" t="s">
        <v>16</v>
      </c>
      <c r="J88" s="22">
        <v>0.56999999999999995</v>
      </c>
      <c r="K88" s="23"/>
    </row>
    <row r="89" spans="1:11" x14ac:dyDescent="0.2">
      <c r="A89" s="8"/>
      <c r="B89" s="19" t="s">
        <v>996</v>
      </c>
      <c r="C89" s="20">
        <v>82</v>
      </c>
      <c r="D89" s="21" t="s">
        <v>40</v>
      </c>
      <c r="E89" s="21" t="s">
        <v>41</v>
      </c>
      <c r="F89" s="21"/>
      <c r="G89" s="21"/>
      <c r="H89" s="21"/>
      <c r="I89" s="21" t="s">
        <v>16</v>
      </c>
      <c r="J89" s="22">
        <v>0.95089999999999997</v>
      </c>
      <c r="K89" s="23"/>
    </row>
    <row r="90" spans="1:11" x14ac:dyDescent="0.2">
      <c r="A90" s="8"/>
      <c r="B90" s="19" t="s">
        <v>996</v>
      </c>
      <c r="C90" s="20">
        <v>83</v>
      </c>
      <c r="D90" s="21" t="s">
        <v>42</v>
      </c>
      <c r="E90" s="21" t="s">
        <v>43</v>
      </c>
      <c r="F90" s="21"/>
      <c r="G90" s="21"/>
      <c r="H90" s="21"/>
      <c r="I90" s="21" t="s">
        <v>16</v>
      </c>
      <c r="J90" s="22">
        <v>3.8272699999999999</v>
      </c>
      <c r="K90" s="23"/>
    </row>
    <row r="91" spans="1:11" x14ac:dyDescent="0.2">
      <c r="A91" s="8"/>
      <c r="B91" s="19" t="s">
        <v>996</v>
      </c>
      <c r="C91" s="20">
        <v>84</v>
      </c>
      <c r="D91" s="21" t="s">
        <v>44</v>
      </c>
      <c r="E91" s="21"/>
      <c r="F91" s="21"/>
      <c r="G91" s="21"/>
      <c r="H91" s="21"/>
      <c r="I91" s="21" t="s">
        <v>16</v>
      </c>
      <c r="J91" s="22">
        <v>0.9</v>
      </c>
      <c r="K91" s="23"/>
    </row>
    <row r="92" spans="1:11" x14ac:dyDescent="0.2">
      <c r="A92" s="8"/>
      <c r="B92" s="19" t="s">
        <v>996</v>
      </c>
      <c r="C92" s="20">
        <v>85</v>
      </c>
      <c r="D92" s="21" t="s">
        <v>45</v>
      </c>
      <c r="E92" s="21" t="s">
        <v>35</v>
      </c>
      <c r="F92" s="21"/>
      <c r="G92" s="21"/>
      <c r="H92" s="21"/>
      <c r="I92" s="21" t="s">
        <v>16</v>
      </c>
      <c r="J92" s="22">
        <v>0.48</v>
      </c>
      <c r="K92" s="23"/>
    </row>
    <row r="93" spans="1:11" x14ac:dyDescent="0.2">
      <c r="A93" s="8"/>
      <c r="B93" s="19" t="s">
        <v>996</v>
      </c>
      <c r="C93" s="20">
        <v>86</v>
      </c>
      <c r="D93" s="21" t="s">
        <v>940</v>
      </c>
      <c r="E93" s="21" t="s">
        <v>46</v>
      </c>
      <c r="F93" s="21"/>
      <c r="G93" s="21"/>
      <c r="H93" s="21"/>
      <c r="I93" s="21" t="s">
        <v>16</v>
      </c>
      <c r="J93" s="22">
        <v>0.68679999999999997</v>
      </c>
      <c r="K93" s="23"/>
    </row>
    <row r="94" spans="1:11" x14ac:dyDescent="0.2">
      <c r="A94" s="8"/>
      <c r="B94" s="19" t="s">
        <v>996</v>
      </c>
      <c r="C94" s="20">
        <v>87</v>
      </c>
      <c r="D94" s="21" t="s">
        <v>47</v>
      </c>
      <c r="E94" s="21" t="s">
        <v>48</v>
      </c>
      <c r="F94" s="21"/>
      <c r="G94" s="21"/>
      <c r="H94" s="21"/>
      <c r="I94" s="21" t="s">
        <v>49</v>
      </c>
      <c r="J94" s="22">
        <v>4.8172699999999997</v>
      </c>
      <c r="K94" s="23"/>
    </row>
    <row r="95" spans="1:11" x14ac:dyDescent="0.2">
      <c r="A95" s="8"/>
      <c r="B95" s="19" t="s">
        <v>996</v>
      </c>
      <c r="C95" s="20">
        <v>88</v>
      </c>
      <c r="D95" s="21" t="s">
        <v>50</v>
      </c>
      <c r="E95" s="21" t="s">
        <v>51</v>
      </c>
      <c r="F95" s="21"/>
      <c r="G95" s="21"/>
      <c r="H95" s="21"/>
      <c r="I95" s="21" t="s">
        <v>16</v>
      </c>
      <c r="J95" s="187">
        <v>0.57999999999999996</v>
      </c>
      <c r="K95" s="23"/>
    </row>
    <row r="96" spans="1:11" x14ac:dyDescent="0.2">
      <c r="A96" s="8"/>
      <c r="B96" s="19" t="s">
        <v>996</v>
      </c>
      <c r="C96" s="20">
        <v>89</v>
      </c>
      <c r="D96" s="21" t="s">
        <v>52</v>
      </c>
      <c r="E96" s="21"/>
      <c r="F96" s="21"/>
      <c r="G96" s="21"/>
      <c r="H96" s="21"/>
      <c r="I96" s="21" t="s">
        <v>16</v>
      </c>
      <c r="J96" s="22">
        <v>0.57999999999999996</v>
      </c>
      <c r="K96" s="23"/>
    </row>
    <row r="97" spans="1:11" x14ac:dyDescent="0.2">
      <c r="A97" s="8"/>
      <c r="B97" s="19" t="s">
        <v>996</v>
      </c>
      <c r="C97" s="20">
        <v>90</v>
      </c>
      <c r="D97" s="21" t="s">
        <v>941</v>
      </c>
      <c r="E97" s="21" t="s">
        <v>53</v>
      </c>
      <c r="F97" s="21" t="s">
        <v>424</v>
      </c>
      <c r="G97" s="21"/>
      <c r="H97" s="21"/>
      <c r="I97" s="21" t="s">
        <v>16</v>
      </c>
      <c r="J97" s="22">
        <v>0.5</v>
      </c>
      <c r="K97" s="23"/>
    </row>
    <row r="98" spans="1:11" x14ac:dyDescent="0.2">
      <c r="A98" s="8"/>
      <c r="B98" s="19" t="s">
        <v>996</v>
      </c>
      <c r="C98" s="20">
        <v>91</v>
      </c>
      <c r="D98" s="21" t="s">
        <v>942</v>
      </c>
      <c r="E98" s="21"/>
      <c r="F98" s="21"/>
      <c r="G98" s="21"/>
      <c r="H98" s="21"/>
      <c r="I98" s="21" t="s">
        <v>16</v>
      </c>
      <c r="J98" s="22">
        <v>0.72289999999999999</v>
      </c>
      <c r="K98" s="23"/>
    </row>
    <row r="99" spans="1:11" x14ac:dyDescent="0.2">
      <c r="A99" s="8"/>
      <c r="B99" s="19" t="s">
        <v>996</v>
      </c>
      <c r="C99" s="20">
        <v>92</v>
      </c>
      <c r="D99" s="21" t="s">
        <v>54</v>
      </c>
      <c r="E99" s="21" t="s">
        <v>55</v>
      </c>
      <c r="F99" s="21"/>
      <c r="G99" s="21"/>
      <c r="H99" s="21"/>
      <c r="I99" s="21" t="s">
        <v>16</v>
      </c>
      <c r="J99" s="22">
        <v>1.11818</v>
      </c>
      <c r="K99" s="23"/>
    </row>
    <row r="100" spans="1:11" x14ac:dyDescent="0.2">
      <c r="A100" s="8"/>
      <c r="B100" s="19" t="s">
        <v>996</v>
      </c>
      <c r="C100" s="20">
        <v>93</v>
      </c>
      <c r="D100" s="21" t="s">
        <v>84</v>
      </c>
      <c r="E100" s="21" t="s">
        <v>781</v>
      </c>
      <c r="F100" s="21"/>
      <c r="G100" s="21"/>
      <c r="H100" s="21"/>
      <c r="I100" s="21" t="s">
        <v>49</v>
      </c>
      <c r="J100" s="22">
        <v>12.07</v>
      </c>
      <c r="K100" s="23"/>
    </row>
    <row r="101" spans="1:11" x14ac:dyDescent="0.2">
      <c r="A101" s="8"/>
      <c r="B101" s="19" t="s">
        <v>996</v>
      </c>
      <c r="C101" s="20">
        <v>94</v>
      </c>
      <c r="D101" s="21" t="s">
        <v>85</v>
      </c>
      <c r="E101" s="21" t="s">
        <v>86</v>
      </c>
      <c r="F101" s="21"/>
      <c r="G101" s="21"/>
      <c r="H101" s="21"/>
      <c r="I101" s="21" t="s">
        <v>49</v>
      </c>
      <c r="J101" s="22">
        <v>5.2</v>
      </c>
      <c r="K101" s="23"/>
    </row>
    <row r="102" spans="1:11" x14ac:dyDescent="0.2">
      <c r="A102" s="8"/>
      <c r="B102" s="19" t="s">
        <v>996</v>
      </c>
      <c r="C102" s="20">
        <v>95</v>
      </c>
      <c r="D102" s="21" t="s">
        <v>89</v>
      </c>
      <c r="E102" s="21" t="s">
        <v>90</v>
      </c>
      <c r="F102" s="21"/>
      <c r="G102" s="21"/>
      <c r="H102" s="21"/>
      <c r="I102" s="21" t="s">
        <v>49</v>
      </c>
      <c r="J102" s="22">
        <v>9.5</v>
      </c>
      <c r="K102" s="23"/>
    </row>
    <row r="103" spans="1:11" x14ac:dyDescent="0.2">
      <c r="A103" s="8"/>
      <c r="B103" s="19" t="s">
        <v>996</v>
      </c>
      <c r="C103" s="20">
        <v>96</v>
      </c>
      <c r="D103" s="21" t="s">
        <v>91</v>
      </c>
      <c r="E103" s="21" t="s">
        <v>92</v>
      </c>
      <c r="F103" s="21"/>
      <c r="G103" s="21"/>
      <c r="H103" s="21"/>
      <c r="I103" s="21" t="s">
        <v>49</v>
      </c>
      <c r="J103" s="22">
        <v>9.64</v>
      </c>
      <c r="K103" s="23"/>
    </row>
    <row r="104" spans="1:11" x14ac:dyDescent="0.2">
      <c r="A104" s="8"/>
      <c r="B104" s="19" t="s">
        <v>996</v>
      </c>
      <c r="C104" s="20">
        <v>97</v>
      </c>
      <c r="D104" s="21" t="s">
        <v>87</v>
      </c>
      <c r="E104" s="21" t="s">
        <v>88</v>
      </c>
      <c r="F104" s="21"/>
      <c r="G104" s="21"/>
      <c r="H104" s="21"/>
      <c r="I104" s="21" t="s">
        <v>49</v>
      </c>
      <c r="J104" s="22">
        <v>15.2</v>
      </c>
      <c r="K104" s="23"/>
    </row>
    <row r="105" spans="1:11" x14ac:dyDescent="0.2">
      <c r="A105" s="8"/>
      <c r="B105" s="19" t="s">
        <v>996</v>
      </c>
      <c r="C105" s="20">
        <v>98</v>
      </c>
      <c r="D105" s="21"/>
      <c r="E105" s="21"/>
      <c r="F105" s="21"/>
      <c r="G105" s="21"/>
      <c r="H105" s="21"/>
      <c r="I105" s="21"/>
      <c r="J105" s="22"/>
      <c r="K105" s="23"/>
    </row>
    <row r="106" spans="1:11" x14ac:dyDescent="0.2">
      <c r="A106" s="8"/>
      <c r="B106" s="19" t="s">
        <v>996</v>
      </c>
      <c r="C106" s="20">
        <v>99</v>
      </c>
      <c r="D106" s="21"/>
      <c r="E106" s="21"/>
      <c r="F106" s="21"/>
      <c r="G106" s="21"/>
      <c r="H106" s="21"/>
      <c r="I106" s="21"/>
      <c r="J106" s="22"/>
      <c r="K106" s="23"/>
    </row>
    <row r="107" spans="1:11" x14ac:dyDescent="0.2">
      <c r="A107" s="8"/>
      <c r="B107" s="19" t="s">
        <v>996</v>
      </c>
      <c r="C107" s="20">
        <v>100</v>
      </c>
      <c r="D107" s="21"/>
      <c r="E107" s="21"/>
      <c r="F107" s="21"/>
      <c r="G107" s="21"/>
      <c r="H107" s="21"/>
      <c r="I107" s="21"/>
      <c r="J107" s="22"/>
      <c r="K107" s="23"/>
    </row>
    <row r="108" spans="1:11" x14ac:dyDescent="0.2">
      <c r="A108" s="8"/>
      <c r="B108" s="19" t="s">
        <v>996</v>
      </c>
      <c r="C108" s="20">
        <v>101</v>
      </c>
      <c r="D108" s="21"/>
      <c r="E108" s="21"/>
      <c r="F108" s="21"/>
      <c r="G108" s="21"/>
      <c r="H108" s="21"/>
      <c r="I108" s="21"/>
      <c r="J108" s="22"/>
      <c r="K108" s="23"/>
    </row>
    <row r="109" spans="1:11" x14ac:dyDescent="0.2">
      <c r="A109" s="8"/>
      <c r="B109" s="19" t="s">
        <v>996</v>
      </c>
      <c r="C109" s="20">
        <v>102</v>
      </c>
      <c r="D109" s="21"/>
      <c r="E109" s="21"/>
      <c r="F109" s="21"/>
      <c r="G109" s="21"/>
      <c r="H109" s="21"/>
      <c r="I109" s="21"/>
      <c r="J109" s="22"/>
      <c r="K109" s="23"/>
    </row>
    <row r="110" spans="1:11" x14ac:dyDescent="0.2">
      <c r="A110" s="8"/>
      <c r="B110" s="19" t="s">
        <v>964</v>
      </c>
      <c r="C110" s="20">
        <v>103</v>
      </c>
      <c r="D110" s="21" t="s">
        <v>56</v>
      </c>
      <c r="E110" s="21" t="s">
        <v>57</v>
      </c>
      <c r="F110" s="21" t="s">
        <v>58</v>
      </c>
      <c r="G110" s="21"/>
      <c r="H110" s="21"/>
      <c r="I110" s="21" t="s">
        <v>49</v>
      </c>
      <c r="J110" s="22">
        <v>116.9</v>
      </c>
      <c r="K110" s="23"/>
    </row>
    <row r="111" spans="1:11" x14ac:dyDescent="0.2">
      <c r="A111" s="8"/>
      <c r="B111" s="19" t="s">
        <v>964</v>
      </c>
      <c r="C111" s="20">
        <v>104</v>
      </c>
      <c r="D111" s="21" t="s">
        <v>369</v>
      </c>
      <c r="E111" s="21" t="s">
        <v>370</v>
      </c>
      <c r="F111" s="21" t="s">
        <v>371</v>
      </c>
      <c r="G111" s="21"/>
      <c r="H111" s="21"/>
      <c r="I111" s="21" t="s">
        <v>372</v>
      </c>
      <c r="J111" s="22">
        <f>460/1.5</f>
        <v>306.66666666666669</v>
      </c>
      <c r="K111" s="23"/>
    </row>
    <row r="112" spans="1:11" x14ac:dyDescent="0.2">
      <c r="A112" s="8"/>
      <c r="B112" s="19" t="s">
        <v>964</v>
      </c>
      <c r="C112" s="20">
        <v>105</v>
      </c>
      <c r="D112" s="21" t="s">
        <v>59</v>
      </c>
      <c r="E112" s="21" t="s">
        <v>60</v>
      </c>
      <c r="F112" s="21"/>
      <c r="G112" s="21"/>
      <c r="H112" s="21"/>
      <c r="I112" s="21" t="s">
        <v>49</v>
      </c>
      <c r="J112" s="22">
        <v>23</v>
      </c>
      <c r="K112" s="23"/>
    </row>
    <row r="113" spans="1:11" x14ac:dyDescent="0.2">
      <c r="A113" s="8"/>
      <c r="B113" s="19" t="s">
        <v>964</v>
      </c>
      <c r="C113" s="20">
        <v>106</v>
      </c>
      <c r="D113" s="21" t="s">
        <v>61</v>
      </c>
      <c r="E113" s="21" t="s">
        <v>62</v>
      </c>
      <c r="F113" s="21"/>
      <c r="G113" s="21"/>
      <c r="H113" s="21"/>
      <c r="I113" s="21" t="s">
        <v>49</v>
      </c>
      <c r="J113" s="22">
        <v>285</v>
      </c>
      <c r="K113" s="23"/>
    </row>
    <row r="114" spans="1:11" x14ac:dyDescent="0.2">
      <c r="A114" s="8"/>
      <c r="B114" s="19" t="s">
        <v>964</v>
      </c>
      <c r="C114" s="20">
        <v>107</v>
      </c>
      <c r="D114" s="21" t="s">
        <v>63</v>
      </c>
      <c r="E114" s="21" t="s">
        <v>64</v>
      </c>
      <c r="F114" s="21" t="s">
        <v>65</v>
      </c>
      <c r="G114" s="21"/>
      <c r="H114" s="21"/>
      <c r="I114" s="21" t="s">
        <v>16</v>
      </c>
      <c r="J114" s="22">
        <v>7.25</v>
      </c>
      <c r="K114" s="23"/>
    </row>
    <row r="115" spans="1:11" x14ac:dyDescent="0.2">
      <c r="A115" s="8"/>
      <c r="B115" s="19" t="s">
        <v>964</v>
      </c>
      <c r="C115" s="20">
        <v>108</v>
      </c>
      <c r="D115" s="21" t="s">
        <v>66</v>
      </c>
      <c r="E115" s="21" t="s">
        <v>60</v>
      </c>
      <c r="F115" s="21" t="s">
        <v>67</v>
      </c>
      <c r="G115" s="21"/>
      <c r="H115" s="21"/>
      <c r="I115" s="21" t="s">
        <v>49</v>
      </c>
      <c r="J115" s="22">
        <v>18.827999999999999</v>
      </c>
      <c r="K115" s="23"/>
    </row>
    <row r="116" spans="1:11" x14ac:dyDescent="0.2">
      <c r="A116" s="8"/>
      <c r="B116" s="19" t="s">
        <v>964</v>
      </c>
      <c r="C116" s="20">
        <v>109</v>
      </c>
      <c r="D116" s="21" t="s">
        <v>68</v>
      </c>
      <c r="E116" s="21" t="s">
        <v>69</v>
      </c>
      <c r="F116" s="21"/>
      <c r="G116" s="21"/>
      <c r="H116" s="21"/>
      <c r="I116" s="21" t="s">
        <v>49</v>
      </c>
      <c r="J116" s="22"/>
      <c r="K116" s="23"/>
    </row>
    <row r="117" spans="1:11" x14ac:dyDescent="0.2">
      <c r="A117" s="8"/>
      <c r="B117" s="19" t="s">
        <v>964</v>
      </c>
      <c r="C117" s="20">
        <v>110</v>
      </c>
      <c r="D117" s="21" t="s">
        <v>70</v>
      </c>
      <c r="E117" s="21" t="s">
        <v>71</v>
      </c>
      <c r="F117" s="21" t="s">
        <v>72</v>
      </c>
      <c r="G117" s="21"/>
      <c r="H117" s="21"/>
      <c r="I117" s="21" t="s">
        <v>49</v>
      </c>
      <c r="J117" s="22">
        <v>94</v>
      </c>
      <c r="K117" s="23"/>
    </row>
    <row r="118" spans="1:11" x14ac:dyDescent="0.2">
      <c r="A118" s="8"/>
      <c r="B118" s="19" t="s">
        <v>964</v>
      </c>
      <c r="C118" s="20">
        <v>111</v>
      </c>
      <c r="D118" s="21" t="s">
        <v>73</v>
      </c>
      <c r="E118" s="21" t="s">
        <v>74</v>
      </c>
      <c r="F118" s="21" t="s">
        <v>75</v>
      </c>
      <c r="G118" s="21"/>
      <c r="H118" s="21"/>
      <c r="I118" s="21" t="s">
        <v>49</v>
      </c>
      <c r="J118" s="22">
        <v>58.6</v>
      </c>
      <c r="K118" s="23"/>
    </row>
    <row r="119" spans="1:11" x14ac:dyDescent="0.2">
      <c r="A119" s="8"/>
      <c r="B119" s="19" t="s">
        <v>964</v>
      </c>
      <c r="C119" s="20">
        <v>112</v>
      </c>
      <c r="D119" s="21" t="s">
        <v>444</v>
      </c>
      <c r="E119" s="21"/>
      <c r="F119" s="21"/>
      <c r="G119" s="21"/>
      <c r="H119" s="21"/>
      <c r="I119" s="21"/>
      <c r="J119" s="22">
        <v>85</v>
      </c>
      <c r="K119" s="23"/>
    </row>
    <row r="120" spans="1:11" x14ac:dyDescent="0.2">
      <c r="A120" s="8"/>
      <c r="B120" s="19" t="s">
        <v>964</v>
      </c>
      <c r="C120" s="20">
        <v>113</v>
      </c>
      <c r="D120" s="21" t="s">
        <v>965</v>
      </c>
      <c r="E120" s="21"/>
      <c r="F120" s="21"/>
      <c r="G120" s="21"/>
      <c r="H120" s="21"/>
      <c r="I120" s="21" t="s">
        <v>49</v>
      </c>
      <c r="J120" s="22">
        <v>14.75</v>
      </c>
      <c r="K120" s="23"/>
    </row>
    <row r="121" spans="1:11" x14ac:dyDescent="0.2">
      <c r="A121" s="8"/>
      <c r="B121" s="19" t="s">
        <v>964</v>
      </c>
      <c r="C121" s="20">
        <v>114</v>
      </c>
      <c r="D121" s="21" t="s">
        <v>76</v>
      </c>
      <c r="E121" s="21" t="s">
        <v>77</v>
      </c>
      <c r="F121" s="21" t="s">
        <v>78</v>
      </c>
      <c r="G121" s="21"/>
      <c r="H121" s="21"/>
      <c r="I121" s="21" t="s">
        <v>49</v>
      </c>
      <c r="J121" s="22">
        <v>55.818100000000001</v>
      </c>
      <c r="K121" s="23"/>
    </row>
    <row r="122" spans="1:11" x14ac:dyDescent="0.2">
      <c r="A122" s="8"/>
      <c r="B122" s="19" t="s">
        <v>964</v>
      </c>
      <c r="C122" s="20">
        <v>115</v>
      </c>
      <c r="D122" s="21" t="s">
        <v>79</v>
      </c>
      <c r="E122" s="21" t="s">
        <v>80</v>
      </c>
      <c r="F122" s="21"/>
      <c r="G122" s="21"/>
      <c r="H122" s="21"/>
      <c r="I122" s="21" t="s">
        <v>49</v>
      </c>
      <c r="J122" s="22">
        <v>148</v>
      </c>
      <c r="K122" s="23"/>
    </row>
    <row r="123" spans="1:11" x14ac:dyDescent="0.2">
      <c r="A123" s="8"/>
      <c r="B123" s="19" t="s">
        <v>964</v>
      </c>
      <c r="C123" s="20">
        <v>116</v>
      </c>
      <c r="D123" s="21" t="s">
        <v>81</v>
      </c>
      <c r="E123" s="21" t="s">
        <v>82</v>
      </c>
      <c r="F123" s="21"/>
      <c r="G123" s="21"/>
      <c r="H123" s="21"/>
      <c r="I123" s="21" t="s">
        <v>16</v>
      </c>
      <c r="J123" s="22">
        <v>7.25</v>
      </c>
      <c r="K123" s="23"/>
    </row>
    <row r="124" spans="1:11" x14ac:dyDescent="0.2">
      <c r="A124" s="8"/>
      <c r="B124" s="19" t="s">
        <v>964</v>
      </c>
      <c r="C124" s="20">
        <v>117</v>
      </c>
      <c r="D124" s="21" t="s">
        <v>83</v>
      </c>
      <c r="E124" s="21" t="s">
        <v>82</v>
      </c>
      <c r="F124" s="21"/>
      <c r="G124" s="21"/>
      <c r="H124" s="21"/>
      <c r="I124" s="21"/>
      <c r="J124" s="22">
        <v>31</v>
      </c>
      <c r="K124" s="23"/>
    </row>
    <row r="125" spans="1:11" x14ac:dyDescent="0.2">
      <c r="A125" s="8"/>
      <c r="B125" s="19" t="s">
        <v>964</v>
      </c>
      <c r="C125" s="20">
        <v>118</v>
      </c>
      <c r="D125" s="21"/>
      <c r="E125" s="21"/>
      <c r="F125" s="21"/>
      <c r="G125" s="21"/>
      <c r="H125" s="21"/>
      <c r="I125" s="21"/>
      <c r="J125" s="22"/>
      <c r="K125" s="23"/>
    </row>
    <row r="126" spans="1:11" x14ac:dyDescent="0.2">
      <c r="A126" s="8"/>
      <c r="B126" s="19" t="s">
        <v>964</v>
      </c>
      <c r="C126" s="20">
        <v>119</v>
      </c>
      <c r="D126" s="21"/>
      <c r="E126" s="21"/>
      <c r="F126" s="21"/>
      <c r="G126" s="21"/>
      <c r="H126" s="21"/>
      <c r="I126" s="21"/>
      <c r="J126" s="22"/>
      <c r="K126" s="23"/>
    </row>
    <row r="127" spans="1:11" x14ac:dyDescent="0.2">
      <c r="A127" s="8"/>
      <c r="B127" s="19" t="s">
        <v>964</v>
      </c>
      <c r="C127" s="20">
        <v>120</v>
      </c>
      <c r="D127" s="21"/>
      <c r="E127" s="21"/>
      <c r="F127" s="21"/>
      <c r="G127" s="21"/>
      <c r="H127" s="21"/>
      <c r="I127" s="21"/>
      <c r="J127" s="22"/>
      <c r="K127" s="23"/>
    </row>
    <row r="128" spans="1:11" x14ac:dyDescent="0.2">
      <c r="A128" s="8"/>
      <c r="B128" s="19" t="s">
        <v>964</v>
      </c>
      <c r="C128" s="20">
        <v>121</v>
      </c>
      <c r="D128" s="21"/>
      <c r="E128" s="21"/>
      <c r="F128" s="21"/>
      <c r="G128" s="21"/>
      <c r="H128" s="21"/>
      <c r="I128" s="21"/>
      <c r="J128" s="22"/>
      <c r="K128" s="23"/>
    </row>
    <row r="129" spans="1:11" x14ac:dyDescent="0.2">
      <c r="A129" s="8"/>
      <c r="B129" s="19" t="s">
        <v>964</v>
      </c>
      <c r="C129" s="20">
        <v>122</v>
      </c>
      <c r="D129" s="21"/>
      <c r="E129" s="21"/>
      <c r="F129" s="21"/>
      <c r="G129" s="21"/>
      <c r="H129" s="21"/>
      <c r="I129" s="21"/>
      <c r="J129" s="22"/>
      <c r="K129" s="23"/>
    </row>
    <row r="130" spans="1:11" x14ac:dyDescent="0.2">
      <c r="A130" s="8"/>
      <c r="B130" s="19" t="s">
        <v>964</v>
      </c>
      <c r="C130" s="20">
        <v>123</v>
      </c>
      <c r="D130" s="21"/>
      <c r="E130" s="21"/>
      <c r="F130" s="21"/>
      <c r="G130" s="21"/>
      <c r="H130" s="21"/>
      <c r="I130" s="21"/>
      <c r="J130" s="22"/>
      <c r="K130" s="23"/>
    </row>
    <row r="131" spans="1:11" x14ac:dyDescent="0.2">
      <c r="A131" s="8"/>
      <c r="B131" s="19" t="s">
        <v>943</v>
      </c>
      <c r="C131" s="20">
        <v>124</v>
      </c>
      <c r="D131" s="21" t="s">
        <v>93</v>
      </c>
      <c r="E131" s="21"/>
      <c r="F131" s="21"/>
      <c r="G131" s="21"/>
      <c r="H131" s="21"/>
      <c r="I131" s="21" t="s">
        <v>16</v>
      </c>
      <c r="J131" s="22">
        <v>87.817999999999998</v>
      </c>
      <c r="K131" s="23"/>
    </row>
    <row r="132" spans="1:11" x14ac:dyDescent="0.2">
      <c r="A132" s="8"/>
      <c r="B132" s="19" t="s">
        <v>943</v>
      </c>
      <c r="C132" s="20">
        <v>125</v>
      </c>
      <c r="D132" s="21" t="s">
        <v>950</v>
      </c>
      <c r="E132" s="21" t="s">
        <v>94</v>
      </c>
      <c r="F132" s="21" t="s">
        <v>95</v>
      </c>
      <c r="G132" s="21"/>
      <c r="H132" s="21"/>
      <c r="I132" s="21" t="s">
        <v>96</v>
      </c>
      <c r="J132" s="22">
        <v>7.0000000000000007E-2</v>
      </c>
      <c r="K132" s="23"/>
    </row>
    <row r="133" spans="1:11" x14ac:dyDescent="0.2">
      <c r="A133" s="8"/>
      <c r="B133" s="19" t="s">
        <v>943</v>
      </c>
      <c r="C133" s="20">
        <v>126</v>
      </c>
      <c r="D133" s="21" t="s">
        <v>97</v>
      </c>
      <c r="E133" s="21" t="s">
        <v>98</v>
      </c>
      <c r="F133" s="21" t="s">
        <v>75</v>
      </c>
      <c r="G133" s="21"/>
      <c r="H133" s="21"/>
      <c r="I133" s="21" t="s">
        <v>49</v>
      </c>
      <c r="J133" s="22">
        <v>6.05</v>
      </c>
      <c r="K133" s="23"/>
    </row>
    <row r="134" spans="1:11" x14ac:dyDescent="0.2">
      <c r="A134" s="8"/>
      <c r="B134" s="19" t="s">
        <v>943</v>
      </c>
      <c r="C134" s="20">
        <v>127</v>
      </c>
      <c r="D134" s="21" t="s">
        <v>361</v>
      </c>
      <c r="E134" s="21"/>
      <c r="F134" s="21"/>
      <c r="G134" s="21"/>
      <c r="H134" s="21"/>
      <c r="I134" s="21"/>
      <c r="J134" s="187">
        <v>6.82</v>
      </c>
      <c r="K134" s="23"/>
    </row>
    <row r="135" spans="1:11" x14ac:dyDescent="0.2">
      <c r="A135" s="8"/>
      <c r="B135" s="19" t="s">
        <v>943</v>
      </c>
      <c r="C135" s="20">
        <v>128</v>
      </c>
      <c r="D135" s="21" t="s">
        <v>99</v>
      </c>
      <c r="E135" s="21" t="s">
        <v>100</v>
      </c>
      <c r="F135" s="21" t="s">
        <v>75</v>
      </c>
      <c r="G135" s="21"/>
      <c r="H135" s="21"/>
      <c r="I135" s="21" t="s">
        <v>49</v>
      </c>
      <c r="J135" s="22">
        <v>14.29</v>
      </c>
      <c r="K135" s="23"/>
    </row>
    <row r="136" spans="1:11" x14ac:dyDescent="0.2">
      <c r="A136" s="8"/>
      <c r="B136" s="19" t="s">
        <v>943</v>
      </c>
      <c r="C136" s="20">
        <v>129</v>
      </c>
      <c r="D136" s="21" t="s">
        <v>105</v>
      </c>
      <c r="E136" s="21"/>
      <c r="F136" s="21"/>
      <c r="G136" s="21"/>
      <c r="H136" s="21"/>
      <c r="I136" s="21" t="s">
        <v>49</v>
      </c>
      <c r="J136" s="22">
        <v>120</v>
      </c>
      <c r="K136" s="23"/>
    </row>
    <row r="137" spans="1:11" x14ac:dyDescent="0.2">
      <c r="A137" s="8"/>
      <c r="B137" s="19" t="s">
        <v>943</v>
      </c>
      <c r="C137" s="20">
        <v>130</v>
      </c>
      <c r="D137" s="21" t="s">
        <v>945</v>
      </c>
      <c r="E137" s="21" t="s">
        <v>101</v>
      </c>
      <c r="F137" s="21" t="s">
        <v>102</v>
      </c>
      <c r="G137" s="21"/>
      <c r="H137" s="21"/>
      <c r="I137" s="21" t="s">
        <v>49</v>
      </c>
      <c r="J137" s="22">
        <v>34.271999999999998</v>
      </c>
      <c r="K137" s="23"/>
    </row>
    <row r="138" spans="1:11" x14ac:dyDescent="0.2">
      <c r="A138" s="8"/>
      <c r="B138" s="19" t="s">
        <v>943</v>
      </c>
      <c r="C138" s="20">
        <v>131</v>
      </c>
      <c r="D138" s="21" t="s">
        <v>946</v>
      </c>
      <c r="E138" s="21" t="s">
        <v>103</v>
      </c>
      <c r="F138" s="21" t="s">
        <v>104</v>
      </c>
      <c r="G138" s="21"/>
      <c r="H138" s="21"/>
      <c r="I138" s="21" t="s">
        <v>49</v>
      </c>
      <c r="J138" s="22">
        <v>43.454500000000003</v>
      </c>
      <c r="K138" s="23"/>
    </row>
    <row r="139" spans="1:11" x14ac:dyDescent="0.2">
      <c r="A139" s="8"/>
      <c r="B139" s="19" t="s">
        <v>943</v>
      </c>
      <c r="C139" s="20">
        <v>132</v>
      </c>
      <c r="D139" s="21" t="s">
        <v>106</v>
      </c>
      <c r="E139" s="21" t="s">
        <v>107</v>
      </c>
      <c r="F139" s="21" t="s">
        <v>108</v>
      </c>
      <c r="G139" s="21"/>
      <c r="H139" s="21"/>
      <c r="I139" s="21" t="s">
        <v>96</v>
      </c>
      <c r="J139" s="22">
        <v>0.64900000000000002</v>
      </c>
      <c r="K139" s="23"/>
    </row>
    <row r="140" spans="1:11" x14ac:dyDescent="0.2">
      <c r="A140" s="8"/>
      <c r="B140" s="19" t="s">
        <v>943</v>
      </c>
      <c r="C140" s="20">
        <v>133</v>
      </c>
      <c r="D140" s="21" t="s">
        <v>109</v>
      </c>
      <c r="E140" s="21" t="s">
        <v>110</v>
      </c>
      <c r="F140" s="21" t="s">
        <v>111</v>
      </c>
      <c r="G140" s="21"/>
      <c r="H140" s="21"/>
      <c r="I140" s="21" t="s">
        <v>49</v>
      </c>
      <c r="J140" s="22">
        <v>13.95</v>
      </c>
      <c r="K140" s="23"/>
    </row>
    <row r="141" spans="1:11" x14ac:dyDescent="0.2">
      <c r="A141" s="8"/>
      <c r="B141" s="19" t="s">
        <v>943</v>
      </c>
      <c r="C141" s="20">
        <v>134</v>
      </c>
      <c r="D141" s="21" t="s">
        <v>947</v>
      </c>
      <c r="E141" s="21" t="s">
        <v>112</v>
      </c>
      <c r="F141" s="21" t="s">
        <v>75</v>
      </c>
      <c r="G141" s="21"/>
      <c r="H141" s="21"/>
      <c r="I141" s="21" t="s">
        <v>49</v>
      </c>
      <c r="J141" s="22">
        <v>12.454499999999999</v>
      </c>
      <c r="K141" s="23"/>
    </row>
    <row r="142" spans="1:11" x14ac:dyDescent="0.2">
      <c r="A142" s="8"/>
      <c r="B142" s="19" t="s">
        <v>943</v>
      </c>
      <c r="C142" s="20">
        <v>135</v>
      </c>
      <c r="D142" s="21" t="s">
        <v>364</v>
      </c>
      <c r="E142" s="21"/>
      <c r="F142" s="21"/>
      <c r="G142" s="21"/>
      <c r="H142" s="21"/>
      <c r="I142" s="21"/>
      <c r="J142" s="22">
        <v>60.2</v>
      </c>
      <c r="K142" s="23"/>
    </row>
    <row r="143" spans="1:11" x14ac:dyDescent="0.2">
      <c r="A143" s="8"/>
      <c r="B143" s="19" t="s">
        <v>943</v>
      </c>
      <c r="C143" s="20">
        <v>136</v>
      </c>
      <c r="D143" s="21" t="s">
        <v>948</v>
      </c>
      <c r="E143" s="21" t="s">
        <v>113</v>
      </c>
      <c r="F143" s="21" t="s">
        <v>114</v>
      </c>
      <c r="G143" s="21"/>
      <c r="H143" s="21"/>
      <c r="I143" s="21" t="s">
        <v>49</v>
      </c>
      <c r="J143" s="22">
        <v>12.32</v>
      </c>
      <c r="K143" s="23"/>
    </row>
    <row r="144" spans="1:11" x14ac:dyDescent="0.2">
      <c r="A144" s="8"/>
      <c r="B144" s="19" t="s">
        <v>943</v>
      </c>
      <c r="C144" s="20">
        <v>137</v>
      </c>
      <c r="D144" s="21" t="s">
        <v>115</v>
      </c>
      <c r="E144" s="21" t="s">
        <v>116</v>
      </c>
      <c r="F144" s="21" t="s">
        <v>75</v>
      </c>
      <c r="G144" s="21"/>
      <c r="H144" s="21"/>
      <c r="I144" s="21" t="s">
        <v>49</v>
      </c>
      <c r="J144" s="22">
        <v>12.3</v>
      </c>
      <c r="K144" s="23"/>
    </row>
    <row r="145" spans="1:11" x14ac:dyDescent="0.2">
      <c r="A145" s="8"/>
      <c r="B145" s="19" t="s">
        <v>943</v>
      </c>
      <c r="C145" s="20">
        <v>138</v>
      </c>
      <c r="D145" s="21" t="s">
        <v>448</v>
      </c>
      <c r="E145" s="21" t="s">
        <v>117</v>
      </c>
      <c r="F145" s="21" t="s">
        <v>75</v>
      </c>
      <c r="G145" s="21"/>
      <c r="H145" s="21"/>
      <c r="I145" s="21" t="s">
        <v>96</v>
      </c>
      <c r="J145" s="22">
        <v>12</v>
      </c>
      <c r="K145" s="23"/>
    </row>
    <row r="146" spans="1:11" x14ac:dyDescent="0.2">
      <c r="A146" s="8"/>
      <c r="B146" s="19" t="s">
        <v>943</v>
      </c>
      <c r="C146" s="20">
        <v>139</v>
      </c>
      <c r="D146" s="21" t="s">
        <v>118</v>
      </c>
      <c r="E146" s="21" t="s">
        <v>119</v>
      </c>
      <c r="F146" s="21" t="s">
        <v>120</v>
      </c>
      <c r="G146" s="21"/>
      <c r="H146" s="21"/>
      <c r="I146" s="21" t="s">
        <v>49</v>
      </c>
      <c r="J146" s="22">
        <v>32.226999999999997</v>
      </c>
      <c r="K146" s="23"/>
    </row>
    <row r="147" spans="1:11" x14ac:dyDescent="0.2">
      <c r="A147" s="8"/>
      <c r="B147" s="19" t="s">
        <v>943</v>
      </c>
      <c r="C147" s="20">
        <v>140</v>
      </c>
      <c r="D147" s="21" t="s">
        <v>121</v>
      </c>
      <c r="E147" s="21" t="s">
        <v>122</v>
      </c>
      <c r="F147" s="21" t="s">
        <v>123</v>
      </c>
      <c r="G147" s="21"/>
      <c r="H147" s="21"/>
      <c r="I147" s="21" t="s">
        <v>96</v>
      </c>
      <c r="J147" s="22">
        <v>1.19</v>
      </c>
      <c r="K147" s="23"/>
    </row>
    <row r="148" spans="1:11" x14ac:dyDescent="0.2">
      <c r="A148" s="8"/>
      <c r="B148" s="19" t="s">
        <v>943</v>
      </c>
      <c r="C148" s="20">
        <v>141</v>
      </c>
      <c r="D148" s="21" t="s">
        <v>949</v>
      </c>
      <c r="E148" s="21" t="s">
        <v>124</v>
      </c>
      <c r="F148" s="21"/>
      <c r="G148" s="21"/>
      <c r="H148" s="21"/>
      <c r="I148" s="21" t="s">
        <v>96</v>
      </c>
      <c r="J148" s="22">
        <v>23.9</v>
      </c>
      <c r="K148" s="23"/>
    </row>
    <row r="149" spans="1:11" x14ac:dyDescent="0.2">
      <c r="A149" s="8"/>
      <c r="B149" s="19" t="s">
        <v>943</v>
      </c>
      <c r="C149" s="20">
        <v>142</v>
      </c>
      <c r="D149" s="21" t="s">
        <v>360</v>
      </c>
      <c r="E149" s="21"/>
      <c r="F149" s="21"/>
      <c r="G149" s="21"/>
      <c r="H149" s="21"/>
      <c r="I149" s="21"/>
      <c r="J149" s="22">
        <v>7.45</v>
      </c>
      <c r="K149" s="23"/>
    </row>
    <row r="150" spans="1:11" x14ac:dyDescent="0.2">
      <c r="A150" s="8"/>
      <c r="B150" s="19" t="s">
        <v>943</v>
      </c>
      <c r="C150" s="20">
        <v>143</v>
      </c>
      <c r="D150" s="21" t="s">
        <v>204</v>
      </c>
      <c r="E150" s="21" t="s">
        <v>204</v>
      </c>
      <c r="F150" s="21"/>
      <c r="G150" s="21"/>
      <c r="H150" s="21"/>
      <c r="I150" s="21" t="s">
        <v>96</v>
      </c>
      <c r="J150" s="22">
        <v>0.48</v>
      </c>
      <c r="K150" s="23"/>
    </row>
    <row r="151" spans="1:11" x14ac:dyDescent="0.2">
      <c r="A151" s="8"/>
      <c r="B151" s="19" t="s">
        <v>943</v>
      </c>
      <c r="C151" s="20">
        <v>144</v>
      </c>
      <c r="D151" s="21" t="s">
        <v>125</v>
      </c>
      <c r="E151" s="21" t="s">
        <v>126</v>
      </c>
      <c r="F151" s="21"/>
      <c r="G151" s="21"/>
      <c r="H151" s="21"/>
      <c r="I151" s="21" t="s">
        <v>49</v>
      </c>
      <c r="J151" s="22">
        <v>180.2</v>
      </c>
      <c r="K151" s="23"/>
    </row>
    <row r="152" spans="1:11" x14ac:dyDescent="0.2">
      <c r="A152" s="8"/>
      <c r="B152" s="19" t="s">
        <v>943</v>
      </c>
      <c r="C152" s="20">
        <v>145</v>
      </c>
      <c r="D152" s="21" t="s">
        <v>127</v>
      </c>
      <c r="E152" s="21" t="s">
        <v>128</v>
      </c>
      <c r="F152" s="21" t="s">
        <v>129</v>
      </c>
      <c r="G152" s="21"/>
      <c r="H152" s="21"/>
      <c r="I152" s="21" t="s">
        <v>49</v>
      </c>
      <c r="J152" s="22">
        <v>69.2727</v>
      </c>
      <c r="K152" s="23"/>
    </row>
    <row r="153" spans="1:11" x14ac:dyDescent="0.2">
      <c r="A153" s="8"/>
      <c r="B153" s="19" t="s">
        <v>943</v>
      </c>
      <c r="C153" s="20">
        <v>146</v>
      </c>
      <c r="D153" s="21" t="s">
        <v>130</v>
      </c>
      <c r="E153" s="21" t="s">
        <v>131</v>
      </c>
      <c r="F153" s="21" t="s">
        <v>132</v>
      </c>
      <c r="G153" s="21"/>
      <c r="H153" s="21"/>
      <c r="I153" s="21" t="s">
        <v>49</v>
      </c>
      <c r="J153" s="22">
        <v>50.908999999999999</v>
      </c>
      <c r="K153" s="23"/>
    </row>
    <row r="154" spans="1:11" x14ac:dyDescent="0.2">
      <c r="A154" s="8"/>
      <c r="B154" s="19" t="s">
        <v>943</v>
      </c>
      <c r="C154" s="20">
        <v>147</v>
      </c>
      <c r="D154" s="21" t="s">
        <v>133</v>
      </c>
      <c r="E154" s="21" t="s">
        <v>134</v>
      </c>
      <c r="F154" s="21" t="s">
        <v>75</v>
      </c>
      <c r="G154" s="21"/>
      <c r="H154" s="21"/>
      <c r="I154" s="21" t="s">
        <v>49</v>
      </c>
      <c r="J154" s="22">
        <v>14.227</v>
      </c>
      <c r="K154" s="23"/>
    </row>
    <row r="155" spans="1:11" x14ac:dyDescent="0.2">
      <c r="A155" s="8"/>
      <c r="B155" s="19" t="s">
        <v>943</v>
      </c>
      <c r="C155" s="20">
        <v>148</v>
      </c>
      <c r="D155" s="21" t="s">
        <v>135</v>
      </c>
      <c r="E155" s="21" t="s">
        <v>136</v>
      </c>
      <c r="F155" s="21" t="s">
        <v>75</v>
      </c>
      <c r="G155" s="21"/>
      <c r="H155" s="21"/>
      <c r="I155" s="21" t="s">
        <v>49</v>
      </c>
      <c r="J155" s="22">
        <v>7</v>
      </c>
      <c r="K155" s="23"/>
    </row>
    <row r="156" spans="1:11" x14ac:dyDescent="0.2">
      <c r="A156" s="8"/>
      <c r="B156" s="19" t="s">
        <v>943</v>
      </c>
      <c r="C156" s="20">
        <v>149</v>
      </c>
      <c r="D156" s="21" t="s">
        <v>944</v>
      </c>
      <c r="E156" s="21" t="s">
        <v>137</v>
      </c>
      <c r="F156" s="21" t="s">
        <v>65</v>
      </c>
      <c r="G156" s="21"/>
      <c r="H156" s="21"/>
      <c r="I156" s="21" t="s">
        <v>96</v>
      </c>
      <c r="J156" s="22">
        <v>0.18</v>
      </c>
      <c r="K156" s="23"/>
    </row>
    <row r="157" spans="1:11" x14ac:dyDescent="0.2">
      <c r="A157" s="8"/>
      <c r="B157" s="19" t="s">
        <v>943</v>
      </c>
      <c r="C157" s="20">
        <v>150</v>
      </c>
      <c r="D157" s="21" t="s">
        <v>138</v>
      </c>
      <c r="E157" s="21" t="s">
        <v>139</v>
      </c>
      <c r="F157" s="21" t="s">
        <v>140</v>
      </c>
      <c r="G157" s="21"/>
      <c r="H157" s="21"/>
      <c r="I157" s="21" t="s">
        <v>49</v>
      </c>
      <c r="J157" s="22">
        <v>4.6360000000000001</v>
      </c>
      <c r="K157" s="23"/>
    </row>
    <row r="158" spans="1:11" x14ac:dyDescent="0.2">
      <c r="A158" s="8"/>
      <c r="B158" s="19" t="s">
        <v>943</v>
      </c>
      <c r="C158" s="20">
        <v>151</v>
      </c>
      <c r="D158" s="21" t="s">
        <v>141</v>
      </c>
      <c r="E158" s="21" t="s">
        <v>142</v>
      </c>
      <c r="F158" s="21" t="s">
        <v>78</v>
      </c>
      <c r="G158" s="21"/>
      <c r="H158" s="21"/>
      <c r="I158" s="21" t="s">
        <v>49</v>
      </c>
      <c r="J158" s="22">
        <v>9.68</v>
      </c>
      <c r="K158" s="23"/>
    </row>
    <row r="159" spans="1:11" x14ac:dyDescent="0.2">
      <c r="A159" s="8"/>
      <c r="B159" s="19" t="s">
        <v>943</v>
      </c>
      <c r="C159" s="20">
        <v>152</v>
      </c>
      <c r="D159" s="21" t="s">
        <v>366</v>
      </c>
      <c r="E159" s="21"/>
      <c r="F159" s="21"/>
      <c r="G159" s="21"/>
      <c r="H159" s="21"/>
      <c r="I159" s="21"/>
      <c r="J159" s="22">
        <v>31.25</v>
      </c>
      <c r="K159" s="23"/>
    </row>
    <row r="160" spans="1:11" x14ac:dyDescent="0.2">
      <c r="A160" s="8"/>
      <c r="B160" s="19" t="s">
        <v>943</v>
      </c>
      <c r="C160" s="20">
        <v>153</v>
      </c>
      <c r="D160" s="21" t="s">
        <v>143</v>
      </c>
      <c r="E160" s="21" t="s">
        <v>144</v>
      </c>
      <c r="F160" s="21" t="s">
        <v>145</v>
      </c>
      <c r="G160" s="21"/>
      <c r="H160" s="21"/>
      <c r="I160" s="21" t="s">
        <v>96</v>
      </c>
      <c r="J160" s="22">
        <v>0.3836</v>
      </c>
      <c r="K160" s="23"/>
    </row>
    <row r="161" spans="1:11" x14ac:dyDescent="0.2">
      <c r="A161" s="8"/>
      <c r="B161" s="19" t="s">
        <v>943</v>
      </c>
      <c r="C161" s="20">
        <v>154</v>
      </c>
      <c r="D161" s="21" t="s">
        <v>362</v>
      </c>
      <c r="E161" s="21"/>
      <c r="F161" s="21"/>
      <c r="G161" s="21"/>
      <c r="H161" s="21"/>
      <c r="I161" s="21"/>
      <c r="J161" s="22">
        <v>6.05</v>
      </c>
      <c r="K161" s="23"/>
    </row>
    <row r="162" spans="1:11" x14ac:dyDescent="0.2">
      <c r="A162" s="8"/>
      <c r="B162" s="19" t="s">
        <v>943</v>
      </c>
      <c r="C162" s="20">
        <v>155</v>
      </c>
      <c r="D162" s="21" t="s">
        <v>146</v>
      </c>
      <c r="E162" s="21" t="s">
        <v>147</v>
      </c>
      <c r="F162" s="21" t="s">
        <v>148</v>
      </c>
      <c r="G162" s="21"/>
      <c r="H162" s="21"/>
      <c r="I162" s="21" t="s">
        <v>49</v>
      </c>
      <c r="J162" s="22">
        <v>31.2</v>
      </c>
      <c r="K162" s="23"/>
    </row>
    <row r="163" spans="1:11" x14ac:dyDescent="0.2">
      <c r="A163" s="8"/>
      <c r="B163" s="19" t="s">
        <v>943</v>
      </c>
      <c r="C163" s="20">
        <v>156</v>
      </c>
      <c r="D163" s="21" t="s">
        <v>149</v>
      </c>
      <c r="E163" s="21" t="s">
        <v>150</v>
      </c>
      <c r="F163" s="21"/>
      <c r="G163" s="21"/>
      <c r="H163" s="21"/>
      <c r="I163" s="21" t="s">
        <v>49</v>
      </c>
      <c r="J163" s="22">
        <v>39</v>
      </c>
      <c r="K163" s="23"/>
    </row>
    <row r="164" spans="1:11" x14ac:dyDescent="0.2">
      <c r="A164" s="8"/>
      <c r="B164" s="19" t="s">
        <v>943</v>
      </c>
      <c r="C164" s="20">
        <v>157</v>
      </c>
      <c r="D164" s="21" t="s">
        <v>151</v>
      </c>
      <c r="E164" s="21" t="s">
        <v>152</v>
      </c>
      <c r="F164" s="21" t="s">
        <v>153</v>
      </c>
      <c r="G164" s="21"/>
      <c r="H164" s="21"/>
      <c r="I164" s="21" t="s">
        <v>49</v>
      </c>
      <c r="J164" s="22">
        <v>10.4</v>
      </c>
      <c r="K164" s="23"/>
    </row>
    <row r="165" spans="1:11" x14ac:dyDescent="0.2">
      <c r="A165" s="8"/>
      <c r="B165" s="19" t="s">
        <v>943</v>
      </c>
      <c r="C165" s="20">
        <v>158</v>
      </c>
      <c r="D165" s="21" t="s">
        <v>951</v>
      </c>
      <c r="E165" s="21" t="s">
        <v>154</v>
      </c>
      <c r="F165" s="21" t="s">
        <v>75</v>
      </c>
      <c r="G165" s="21"/>
      <c r="H165" s="21"/>
      <c r="I165" s="21" t="s">
        <v>49</v>
      </c>
      <c r="J165" s="22">
        <v>10.75</v>
      </c>
      <c r="K165" s="23"/>
    </row>
    <row r="166" spans="1:11" x14ac:dyDescent="0.2">
      <c r="A166" s="8"/>
      <c r="B166" s="19" t="s">
        <v>943</v>
      </c>
      <c r="C166" s="20">
        <v>159</v>
      </c>
      <c r="D166" s="21" t="s">
        <v>155</v>
      </c>
      <c r="E166" s="21" t="s">
        <v>156</v>
      </c>
      <c r="F166" s="21" t="s">
        <v>157</v>
      </c>
      <c r="G166" s="21"/>
      <c r="H166" s="21"/>
      <c r="I166" s="21" t="s">
        <v>49</v>
      </c>
      <c r="J166" s="22">
        <v>14.635999999999999</v>
      </c>
      <c r="K166" s="23"/>
    </row>
    <row r="167" spans="1:11" x14ac:dyDescent="0.2">
      <c r="A167" s="8"/>
      <c r="B167" s="19" t="s">
        <v>943</v>
      </c>
      <c r="C167" s="20">
        <v>160</v>
      </c>
      <c r="D167" s="21" t="s">
        <v>158</v>
      </c>
      <c r="E167" s="21" t="s">
        <v>159</v>
      </c>
      <c r="F167" s="21" t="s">
        <v>114</v>
      </c>
      <c r="G167" s="21"/>
      <c r="H167" s="21"/>
      <c r="I167" s="21" t="s">
        <v>49</v>
      </c>
      <c r="J167" s="22">
        <v>11.75</v>
      </c>
      <c r="K167" s="23"/>
    </row>
    <row r="168" spans="1:11" x14ac:dyDescent="0.2">
      <c r="A168" s="8"/>
      <c r="B168" s="19" t="s">
        <v>943</v>
      </c>
      <c r="C168" s="20">
        <v>161</v>
      </c>
      <c r="D168" s="21" t="s">
        <v>952</v>
      </c>
      <c r="E168" s="21" t="s">
        <v>160</v>
      </c>
      <c r="F168" s="21" t="s">
        <v>161</v>
      </c>
      <c r="G168" s="21"/>
      <c r="H168" s="21"/>
      <c r="I168" s="21" t="s">
        <v>49</v>
      </c>
      <c r="J168" s="22">
        <v>18.72</v>
      </c>
      <c r="K168" s="23"/>
    </row>
    <row r="169" spans="1:11" x14ac:dyDescent="0.2">
      <c r="A169" s="8"/>
      <c r="B169" s="19" t="s">
        <v>943</v>
      </c>
      <c r="C169" s="20">
        <v>162</v>
      </c>
      <c r="D169" s="21" t="s">
        <v>162</v>
      </c>
      <c r="E169" s="21" t="s">
        <v>139</v>
      </c>
      <c r="F169" s="21" t="s">
        <v>140</v>
      </c>
      <c r="G169" s="21"/>
      <c r="H169" s="21"/>
      <c r="I169" s="21" t="s">
        <v>49</v>
      </c>
      <c r="J169" s="22">
        <v>4.5</v>
      </c>
      <c r="K169" s="23"/>
    </row>
    <row r="170" spans="1:11" x14ac:dyDescent="0.2">
      <c r="A170" s="8"/>
      <c r="B170" s="19" t="s">
        <v>943</v>
      </c>
      <c r="C170" s="20">
        <v>163</v>
      </c>
      <c r="D170" s="21" t="s">
        <v>451</v>
      </c>
      <c r="E170" s="21"/>
      <c r="F170" s="21" t="s">
        <v>452</v>
      </c>
      <c r="G170" s="21"/>
      <c r="H170" s="21"/>
      <c r="I170" s="21" t="s">
        <v>49</v>
      </c>
      <c r="J170" s="22">
        <v>22</v>
      </c>
      <c r="K170" s="23"/>
    </row>
    <row r="171" spans="1:11" x14ac:dyDescent="0.2">
      <c r="A171" s="8"/>
      <c r="B171" s="19" t="s">
        <v>943</v>
      </c>
      <c r="C171" s="20">
        <v>164</v>
      </c>
      <c r="D171" s="21" t="s">
        <v>163</v>
      </c>
      <c r="E171" s="21" t="s">
        <v>164</v>
      </c>
      <c r="F171" s="21" t="s">
        <v>165</v>
      </c>
      <c r="G171" s="21"/>
      <c r="H171" s="21"/>
      <c r="I171" s="21" t="s">
        <v>49</v>
      </c>
      <c r="J171" s="22">
        <v>84.5</v>
      </c>
      <c r="K171" s="23"/>
    </row>
    <row r="172" spans="1:11" x14ac:dyDescent="0.2">
      <c r="A172" s="8"/>
      <c r="B172" s="19" t="s">
        <v>943</v>
      </c>
      <c r="C172" s="20">
        <v>165</v>
      </c>
      <c r="D172" s="21" t="s">
        <v>166</v>
      </c>
      <c r="E172" s="21" t="s">
        <v>167</v>
      </c>
      <c r="F172" s="21"/>
      <c r="G172" s="21"/>
      <c r="H172" s="21"/>
      <c r="I172" s="21" t="s">
        <v>49</v>
      </c>
      <c r="J172" s="22">
        <v>60</v>
      </c>
      <c r="K172" s="23"/>
    </row>
    <row r="173" spans="1:11" x14ac:dyDescent="0.2">
      <c r="A173" s="8"/>
      <c r="B173" s="19" t="s">
        <v>943</v>
      </c>
      <c r="C173" s="20">
        <v>166</v>
      </c>
      <c r="D173" s="21" t="s">
        <v>168</v>
      </c>
      <c r="E173" s="21" t="s">
        <v>169</v>
      </c>
      <c r="F173" s="21"/>
      <c r="G173" s="21"/>
      <c r="H173" s="21"/>
      <c r="I173" s="21" t="s">
        <v>49</v>
      </c>
      <c r="J173" s="22">
        <v>22</v>
      </c>
      <c r="K173" s="23"/>
    </row>
    <row r="174" spans="1:11" x14ac:dyDescent="0.2">
      <c r="A174" s="8"/>
      <c r="B174" s="19" t="s">
        <v>943</v>
      </c>
      <c r="C174" s="20">
        <v>167</v>
      </c>
      <c r="D174" s="21" t="s">
        <v>365</v>
      </c>
      <c r="E174" s="21"/>
      <c r="F174" s="21"/>
      <c r="G174" s="21"/>
      <c r="H174" s="21"/>
      <c r="I174" s="21"/>
      <c r="J174" s="22">
        <v>7.9</v>
      </c>
      <c r="K174" s="23"/>
    </row>
    <row r="175" spans="1:11" x14ac:dyDescent="0.2">
      <c r="A175" s="8"/>
      <c r="B175" s="19" t="s">
        <v>943</v>
      </c>
      <c r="C175" s="20">
        <v>168</v>
      </c>
      <c r="D175" s="21" t="s">
        <v>170</v>
      </c>
      <c r="E175" s="21" t="s">
        <v>171</v>
      </c>
      <c r="F175" s="21" t="s">
        <v>172</v>
      </c>
      <c r="G175" s="21"/>
      <c r="H175" s="21"/>
      <c r="I175" s="21" t="s">
        <v>96</v>
      </c>
      <c r="J175" s="22">
        <v>19.5</v>
      </c>
      <c r="K175" s="23"/>
    </row>
    <row r="176" spans="1:11" x14ac:dyDescent="0.2">
      <c r="A176" s="8"/>
      <c r="B176" s="19" t="s">
        <v>943</v>
      </c>
      <c r="C176" s="20">
        <v>169</v>
      </c>
      <c r="D176" s="21" t="s">
        <v>173</v>
      </c>
      <c r="E176" s="21" t="s">
        <v>171</v>
      </c>
      <c r="F176" s="21" t="s">
        <v>75</v>
      </c>
      <c r="G176" s="21"/>
      <c r="H176" s="21"/>
      <c r="I176" s="21" t="s">
        <v>49</v>
      </c>
      <c r="J176" s="22">
        <v>5.65</v>
      </c>
      <c r="K176" s="23"/>
    </row>
    <row r="177" spans="1:11" x14ac:dyDescent="0.2">
      <c r="A177" s="8"/>
      <c r="B177" s="19" t="s">
        <v>943</v>
      </c>
      <c r="C177" s="20">
        <v>170</v>
      </c>
      <c r="D177" s="21" t="s">
        <v>202</v>
      </c>
      <c r="E177" s="21"/>
      <c r="F177" s="21"/>
      <c r="G177" s="21"/>
      <c r="H177" s="21"/>
      <c r="I177" s="21" t="s">
        <v>49</v>
      </c>
      <c r="J177" s="22">
        <v>32.14</v>
      </c>
      <c r="K177" s="23"/>
    </row>
    <row r="178" spans="1:11" x14ac:dyDescent="0.2">
      <c r="A178" s="8"/>
      <c r="B178" s="19" t="s">
        <v>943</v>
      </c>
      <c r="C178" s="20">
        <v>171</v>
      </c>
      <c r="D178" s="21" t="s">
        <v>408</v>
      </c>
      <c r="E178" s="21" t="s">
        <v>174</v>
      </c>
      <c r="F178" s="21" t="s">
        <v>175</v>
      </c>
      <c r="G178" s="21"/>
      <c r="H178" s="21"/>
      <c r="I178" s="21" t="s">
        <v>409</v>
      </c>
      <c r="J178" s="187">
        <v>255</v>
      </c>
      <c r="K178" s="23"/>
    </row>
    <row r="179" spans="1:11" x14ac:dyDescent="0.2">
      <c r="A179" s="8"/>
      <c r="B179" s="19" t="s">
        <v>943</v>
      </c>
      <c r="C179" s="20">
        <v>172</v>
      </c>
      <c r="D179" s="21" t="s">
        <v>176</v>
      </c>
      <c r="E179" s="21" t="s">
        <v>177</v>
      </c>
      <c r="F179" s="21" t="s">
        <v>178</v>
      </c>
      <c r="G179" s="21"/>
      <c r="H179" s="21"/>
      <c r="I179" s="21" t="s">
        <v>49</v>
      </c>
      <c r="J179" s="22">
        <v>10.318099999999999</v>
      </c>
      <c r="K179" s="23"/>
    </row>
    <row r="180" spans="1:11" x14ac:dyDescent="0.2">
      <c r="A180" s="8"/>
      <c r="B180" s="19" t="s">
        <v>943</v>
      </c>
      <c r="C180" s="20">
        <v>173</v>
      </c>
      <c r="D180" s="21" t="s">
        <v>953</v>
      </c>
      <c r="E180" s="21" t="s">
        <v>179</v>
      </c>
      <c r="F180" s="21" t="s">
        <v>161</v>
      </c>
      <c r="G180" s="21"/>
      <c r="H180" s="21"/>
      <c r="I180" s="21" t="s">
        <v>49</v>
      </c>
      <c r="J180" s="22">
        <v>16</v>
      </c>
      <c r="K180" s="23"/>
    </row>
    <row r="181" spans="1:11" x14ac:dyDescent="0.2">
      <c r="A181" s="8"/>
      <c r="B181" s="19" t="s">
        <v>943</v>
      </c>
      <c r="C181" s="20">
        <v>174</v>
      </c>
      <c r="D181" s="21" t="s">
        <v>180</v>
      </c>
      <c r="E181" s="21" t="s">
        <v>181</v>
      </c>
      <c r="F181" s="21" t="s">
        <v>140</v>
      </c>
      <c r="G181" s="21"/>
      <c r="H181" s="21"/>
      <c r="I181" s="21" t="s">
        <v>49</v>
      </c>
      <c r="J181" s="22">
        <v>11.41</v>
      </c>
      <c r="K181" s="23"/>
    </row>
    <row r="182" spans="1:11" x14ac:dyDescent="0.2">
      <c r="A182" s="8"/>
      <c r="B182" s="19" t="s">
        <v>943</v>
      </c>
      <c r="C182" s="20">
        <v>175</v>
      </c>
      <c r="D182" s="21" t="s">
        <v>182</v>
      </c>
      <c r="E182" s="21" t="s">
        <v>117</v>
      </c>
      <c r="F182" s="21" t="s">
        <v>75</v>
      </c>
      <c r="G182" s="21"/>
      <c r="H182" s="21"/>
      <c r="I182" s="21" t="s">
        <v>49</v>
      </c>
      <c r="J182" s="22">
        <v>43.6</v>
      </c>
      <c r="K182" s="23"/>
    </row>
    <row r="183" spans="1:11" x14ac:dyDescent="0.2">
      <c r="A183" s="8"/>
      <c r="B183" s="19" t="s">
        <v>943</v>
      </c>
      <c r="C183" s="20">
        <v>176</v>
      </c>
      <c r="D183" s="21" t="s">
        <v>183</v>
      </c>
      <c r="E183" s="21" t="s">
        <v>184</v>
      </c>
      <c r="F183" s="21"/>
      <c r="G183" s="21"/>
      <c r="H183" s="21"/>
      <c r="I183" s="21" t="s">
        <v>49</v>
      </c>
      <c r="J183" s="22">
        <v>4.3635999999999999</v>
      </c>
      <c r="K183" s="23"/>
    </row>
    <row r="184" spans="1:11" x14ac:dyDescent="0.2">
      <c r="A184" s="8"/>
      <c r="B184" s="19" t="s">
        <v>943</v>
      </c>
      <c r="C184" s="20">
        <v>177</v>
      </c>
      <c r="D184" s="21" t="s">
        <v>185</v>
      </c>
      <c r="E184" s="21" t="s">
        <v>186</v>
      </c>
      <c r="F184" s="21" t="s">
        <v>148</v>
      </c>
      <c r="G184" s="21"/>
      <c r="H184" s="21"/>
      <c r="I184" s="21" t="s">
        <v>49</v>
      </c>
      <c r="J184" s="22">
        <v>21.95</v>
      </c>
      <c r="K184" s="23"/>
    </row>
    <row r="185" spans="1:11" x14ac:dyDescent="0.2">
      <c r="A185" s="8"/>
      <c r="B185" s="19" t="s">
        <v>943</v>
      </c>
      <c r="C185" s="20">
        <v>178</v>
      </c>
      <c r="D185" s="21" t="s">
        <v>187</v>
      </c>
      <c r="E185" s="21" t="s">
        <v>188</v>
      </c>
      <c r="F185" s="21" t="s">
        <v>189</v>
      </c>
      <c r="G185" s="21"/>
      <c r="H185" s="21"/>
      <c r="I185" s="21" t="s">
        <v>49</v>
      </c>
      <c r="J185" s="22">
        <v>400</v>
      </c>
      <c r="K185" s="23"/>
    </row>
    <row r="186" spans="1:11" x14ac:dyDescent="0.2">
      <c r="A186" s="8"/>
      <c r="B186" s="19" t="s">
        <v>943</v>
      </c>
      <c r="C186" s="20">
        <v>179</v>
      </c>
      <c r="D186" s="21" t="s">
        <v>954</v>
      </c>
      <c r="E186" s="21" t="s">
        <v>190</v>
      </c>
      <c r="F186" s="21" t="s">
        <v>191</v>
      </c>
      <c r="G186" s="21"/>
      <c r="H186" s="21"/>
      <c r="I186" s="21" t="s">
        <v>49</v>
      </c>
      <c r="J186" s="22">
        <v>16.818000000000001</v>
      </c>
      <c r="K186" s="23"/>
    </row>
    <row r="187" spans="1:11" x14ac:dyDescent="0.2">
      <c r="A187" s="8"/>
      <c r="B187" s="19" t="s">
        <v>943</v>
      </c>
      <c r="C187" s="20">
        <v>180</v>
      </c>
      <c r="D187" s="21" t="s">
        <v>955</v>
      </c>
      <c r="E187" s="21" t="s">
        <v>192</v>
      </c>
      <c r="F187" s="21" t="s">
        <v>193</v>
      </c>
      <c r="G187" s="21"/>
      <c r="H187" s="21"/>
      <c r="I187" s="21" t="s">
        <v>49</v>
      </c>
      <c r="J187" s="22">
        <v>36.72</v>
      </c>
      <c r="K187" s="23"/>
    </row>
    <row r="188" spans="1:11" x14ac:dyDescent="0.2">
      <c r="A188" s="8"/>
      <c r="B188" s="19" t="s">
        <v>943</v>
      </c>
      <c r="C188" s="20">
        <v>181</v>
      </c>
      <c r="D188" s="21" t="s">
        <v>194</v>
      </c>
      <c r="E188" s="21" t="s">
        <v>195</v>
      </c>
      <c r="F188" s="21"/>
      <c r="G188" s="21"/>
      <c r="H188" s="21"/>
      <c r="I188" s="21" t="s">
        <v>49</v>
      </c>
      <c r="J188" s="22">
        <v>9.6</v>
      </c>
      <c r="K188" s="23"/>
    </row>
    <row r="189" spans="1:11" x14ac:dyDescent="0.2">
      <c r="A189" s="8"/>
      <c r="B189" s="19" t="s">
        <v>943</v>
      </c>
      <c r="C189" s="20">
        <v>182</v>
      </c>
      <c r="D189" s="21" t="s">
        <v>956</v>
      </c>
      <c r="E189" s="21" t="s">
        <v>203</v>
      </c>
      <c r="F189" s="21"/>
      <c r="G189" s="21"/>
      <c r="H189" s="21"/>
      <c r="I189" s="21" t="s">
        <v>49</v>
      </c>
      <c r="J189" s="22">
        <v>8.6</v>
      </c>
      <c r="K189" s="23"/>
    </row>
    <row r="190" spans="1:11" x14ac:dyDescent="0.2">
      <c r="A190" s="8"/>
      <c r="B190" s="19" t="s">
        <v>943</v>
      </c>
      <c r="C190" s="20">
        <v>183</v>
      </c>
      <c r="D190" s="21" t="s">
        <v>196</v>
      </c>
      <c r="E190" s="21" t="s">
        <v>197</v>
      </c>
      <c r="F190" s="21" t="s">
        <v>102</v>
      </c>
      <c r="G190" s="21"/>
      <c r="H190" s="21"/>
      <c r="I190" s="21" t="s">
        <v>49</v>
      </c>
      <c r="J190" s="22">
        <v>7.8179999999999996</v>
      </c>
      <c r="K190" s="23"/>
    </row>
    <row r="191" spans="1:11" x14ac:dyDescent="0.2">
      <c r="A191" s="8"/>
      <c r="B191" s="19" t="s">
        <v>943</v>
      </c>
      <c r="C191" s="20">
        <v>184</v>
      </c>
      <c r="D191" s="21" t="s">
        <v>198</v>
      </c>
      <c r="E191" s="21" t="s">
        <v>199</v>
      </c>
      <c r="F191" s="21" t="s">
        <v>200</v>
      </c>
      <c r="G191" s="21"/>
      <c r="H191" s="21"/>
      <c r="I191" s="21" t="s">
        <v>49</v>
      </c>
      <c r="J191" s="22">
        <v>240</v>
      </c>
      <c r="K191" s="23"/>
    </row>
    <row r="192" spans="1:11" x14ac:dyDescent="0.2">
      <c r="A192" s="8"/>
      <c r="B192" s="19" t="s">
        <v>943</v>
      </c>
      <c r="C192" s="20">
        <v>185</v>
      </c>
      <c r="D192" s="21" t="s">
        <v>201</v>
      </c>
      <c r="E192" s="21"/>
      <c r="F192" s="21"/>
      <c r="G192" s="21"/>
      <c r="H192" s="21"/>
      <c r="I192" s="21" t="s">
        <v>49</v>
      </c>
      <c r="J192" s="22">
        <v>78.599999999999994</v>
      </c>
      <c r="K192" s="23"/>
    </row>
    <row r="193" spans="1:11" x14ac:dyDescent="0.2">
      <c r="A193" s="8"/>
      <c r="B193" s="19" t="s">
        <v>943</v>
      </c>
      <c r="C193" s="20">
        <v>186</v>
      </c>
      <c r="D193" s="21"/>
      <c r="E193" s="21"/>
      <c r="F193" s="21"/>
      <c r="G193" s="21"/>
      <c r="H193" s="21"/>
      <c r="I193" s="21"/>
      <c r="J193" s="22"/>
      <c r="K193" s="23"/>
    </row>
    <row r="194" spans="1:11" x14ac:dyDescent="0.2">
      <c r="A194" s="8"/>
      <c r="B194" s="19" t="s">
        <v>943</v>
      </c>
      <c r="C194" s="20">
        <v>187</v>
      </c>
      <c r="D194" s="21"/>
      <c r="E194" s="21"/>
      <c r="F194" s="21"/>
      <c r="G194" s="21"/>
      <c r="H194" s="21"/>
      <c r="I194" s="21"/>
      <c r="J194" s="22"/>
      <c r="K194" s="23"/>
    </row>
    <row r="195" spans="1:11" x14ac:dyDescent="0.2">
      <c r="A195" s="8"/>
      <c r="B195" s="19" t="s">
        <v>943</v>
      </c>
      <c r="C195" s="20">
        <v>188</v>
      </c>
      <c r="D195" s="21"/>
      <c r="E195" s="21"/>
      <c r="F195" s="21"/>
      <c r="G195" s="21"/>
      <c r="H195" s="21"/>
      <c r="I195" s="21"/>
      <c r="J195" s="22"/>
      <c r="K195" s="23"/>
    </row>
    <row r="196" spans="1:11" x14ac:dyDescent="0.2">
      <c r="A196" s="8"/>
      <c r="B196" s="19" t="s">
        <v>943</v>
      </c>
      <c r="C196" s="20">
        <v>189</v>
      </c>
      <c r="D196" s="21"/>
      <c r="E196" s="21"/>
      <c r="F196" s="21"/>
      <c r="G196" s="21"/>
      <c r="H196" s="21"/>
      <c r="I196" s="21"/>
      <c r="J196" s="22"/>
      <c r="K196" s="23"/>
    </row>
    <row r="197" spans="1:11" x14ac:dyDescent="0.2">
      <c r="A197" s="8"/>
      <c r="B197" s="19" t="s">
        <v>943</v>
      </c>
      <c r="C197" s="20">
        <v>190</v>
      </c>
      <c r="D197" s="21"/>
      <c r="E197" s="21"/>
      <c r="F197" s="21"/>
      <c r="G197" s="21"/>
      <c r="H197" s="21"/>
      <c r="I197" s="21"/>
      <c r="J197" s="22"/>
      <c r="K197" s="23"/>
    </row>
    <row r="198" spans="1:11" x14ac:dyDescent="0.2">
      <c r="A198" s="8"/>
      <c r="B198" s="19" t="s">
        <v>943</v>
      </c>
      <c r="C198" s="20">
        <v>191</v>
      </c>
      <c r="D198" s="21"/>
      <c r="E198" s="21"/>
      <c r="F198" s="21"/>
      <c r="G198" s="21"/>
      <c r="H198" s="21"/>
      <c r="I198" s="21"/>
      <c r="J198" s="22"/>
      <c r="K198" s="23"/>
    </row>
    <row r="199" spans="1:11" x14ac:dyDescent="0.2">
      <c r="A199" s="8"/>
      <c r="B199" s="19" t="s">
        <v>943</v>
      </c>
      <c r="C199" s="20">
        <v>192</v>
      </c>
      <c r="D199" s="21"/>
      <c r="E199" s="21"/>
      <c r="F199" s="21"/>
      <c r="G199" s="21"/>
      <c r="H199" s="21"/>
      <c r="I199" s="21"/>
      <c r="J199" s="22"/>
      <c r="K199" s="23"/>
    </row>
    <row r="200" spans="1:11" x14ac:dyDescent="0.2">
      <c r="A200" s="8"/>
      <c r="B200" s="19" t="s">
        <v>943</v>
      </c>
      <c r="C200" s="20">
        <v>193</v>
      </c>
      <c r="D200" s="21"/>
      <c r="E200" s="21"/>
      <c r="F200" s="21"/>
      <c r="G200" s="21"/>
      <c r="H200" s="21"/>
      <c r="I200" s="21"/>
      <c r="J200" s="22"/>
      <c r="K200" s="23"/>
    </row>
    <row r="201" spans="1:11" x14ac:dyDescent="0.2">
      <c r="A201" s="8"/>
      <c r="B201" s="19" t="s">
        <v>943</v>
      </c>
      <c r="C201" s="20">
        <v>194</v>
      </c>
      <c r="D201" s="21"/>
      <c r="E201" s="21"/>
      <c r="F201" s="21"/>
      <c r="G201" s="21"/>
      <c r="H201" s="21"/>
      <c r="I201" s="21"/>
      <c r="J201" s="22"/>
      <c r="K201" s="23"/>
    </row>
    <row r="202" spans="1:11" x14ac:dyDescent="0.2">
      <c r="A202" s="8"/>
      <c r="B202" s="19" t="s">
        <v>943</v>
      </c>
      <c r="C202" s="20">
        <v>195</v>
      </c>
      <c r="D202" s="21"/>
      <c r="E202" s="21"/>
      <c r="F202" s="21"/>
      <c r="G202" s="21"/>
      <c r="H202" s="21"/>
      <c r="I202" s="21"/>
      <c r="J202" s="22"/>
      <c r="K202" s="23"/>
    </row>
    <row r="203" spans="1:11" x14ac:dyDescent="0.2">
      <c r="A203" s="8"/>
      <c r="B203" s="19" t="s">
        <v>943</v>
      </c>
      <c r="C203" s="20">
        <v>196</v>
      </c>
      <c r="D203" s="21"/>
      <c r="E203" s="21"/>
      <c r="F203" s="21"/>
      <c r="G203" s="21"/>
      <c r="H203" s="21"/>
      <c r="I203" s="21"/>
      <c r="J203" s="22"/>
      <c r="K203" s="23"/>
    </row>
    <row r="204" spans="1:11" x14ac:dyDescent="0.2">
      <c r="A204" s="8"/>
      <c r="B204" s="19" t="s">
        <v>943</v>
      </c>
      <c r="C204" s="20">
        <v>197</v>
      </c>
      <c r="D204" s="21"/>
      <c r="E204" s="21"/>
      <c r="F204" s="21"/>
      <c r="G204" s="21"/>
      <c r="H204" s="21"/>
      <c r="I204" s="21"/>
      <c r="J204" s="22"/>
      <c r="K204" s="23"/>
    </row>
    <row r="205" spans="1:11" x14ac:dyDescent="0.2">
      <c r="A205" s="8"/>
      <c r="B205" s="19" t="s">
        <v>943</v>
      </c>
      <c r="C205" s="20">
        <v>198</v>
      </c>
      <c r="D205" s="21"/>
      <c r="E205" s="21"/>
      <c r="F205" s="21"/>
      <c r="G205" s="21"/>
      <c r="H205" s="21"/>
      <c r="I205" s="21"/>
      <c r="J205" s="22"/>
      <c r="K205" s="23"/>
    </row>
    <row r="206" spans="1:11" x14ac:dyDescent="0.2">
      <c r="A206" s="8"/>
      <c r="B206" s="19" t="s">
        <v>943</v>
      </c>
      <c r="C206" s="20">
        <v>199</v>
      </c>
      <c r="D206" s="21"/>
      <c r="E206" s="21"/>
      <c r="F206" s="21"/>
      <c r="G206" s="21"/>
      <c r="H206" s="21"/>
      <c r="I206" s="21"/>
      <c r="J206" s="22"/>
      <c r="K206" s="23"/>
    </row>
    <row r="207" spans="1:11" x14ac:dyDescent="0.2">
      <c r="A207" s="8"/>
      <c r="B207" s="19" t="s">
        <v>943</v>
      </c>
      <c r="C207" s="20">
        <v>200</v>
      </c>
      <c r="D207" s="21"/>
      <c r="E207" s="21"/>
      <c r="F207" s="21"/>
      <c r="G207" s="21"/>
      <c r="H207" s="21"/>
      <c r="I207" s="21"/>
      <c r="J207" s="22"/>
      <c r="K207" s="23"/>
    </row>
    <row r="208" spans="1:11" x14ac:dyDescent="0.2">
      <c r="A208" s="8"/>
      <c r="B208" s="19" t="s">
        <v>957</v>
      </c>
      <c r="C208" s="20">
        <v>201</v>
      </c>
      <c r="D208" s="21" t="s">
        <v>205</v>
      </c>
      <c r="E208" s="21" t="s">
        <v>206</v>
      </c>
      <c r="F208" s="21" t="s">
        <v>172</v>
      </c>
      <c r="G208" s="21"/>
      <c r="H208" s="21"/>
      <c r="I208" s="21" t="s">
        <v>96</v>
      </c>
      <c r="J208" s="22">
        <v>10.6</v>
      </c>
      <c r="K208" s="23"/>
    </row>
    <row r="209" spans="1:11" x14ac:dyDescent="0.2">
      <c r="A209" s="8"/>
      <c r="B209" s="19" t="s">
        <v>957</v>
      </c>
      <c r="C209" s="20">
        <v>202</v>
      </c>
      <c r="D209" s="21" t="s">
        <v>958</v>
      </c>
      <c r="E209" s="21" t="s">
        <v>207</v>
      </c>
      <c r="F209" s="21" t="s">
        <v>208</v>
      </c>
      <c r="G209" s="21"/>
      <c r="H209" s="21"/>
      <c r="I209" s="21" t="s">
        <v>49</v>
      </c>
      <c r="J209" s="22">
        <v>76</v>
      </c>
      <c r="K209" s="23"/>
    </row>
    <row r="210" spans="1:11" x14ac:dyDescent="0.2">
      <c r="A210" s="8"/>
      <c r="B210" s="19" t="s">
        <v>957</v>
      </c>
      <c r="C210" s="20">
        <v>203</v>
      </c>
      <c r="D210" s="21" t="s">
        <v>209</v>
      </c>
      <c r="E210" s="21"/>
      <c r="F210" s="21"/>
      <c r="G210" s="21"/>
      <c r="H210" s="21"/>
      <c r="I210" s="21" t="s">
        <v>49</v>
      </c>
      <c r="J210" s="22">
        <v>5.95</v>
      </c>
      <c r="K210" s="23"/>
    </row>
    <row r="211" spans="1:11" x14ac:dyDescent="0.2">
      <c r="A211" s="8"/>
      <c r="B211" s="19" t="s">
        <v>957</v>
      </c>
      <c r="C211" s="20">
        <v>204</v>
      </c>
      <c r="D211" s="21" t="s">
        <v>210</v>
      </c>
      <c r="E211" s="21" t="s">
        <v>211</v>
      </c>
      <c r="F211" s="21" t="s">
        <v>212</v>
      </c>
      <c r="G211" s="21"/>
      <c r="H211" s="21"/>
      <c r="I211" s="21" t="s">
        <v>49</v>
      </c>
      <c r="J211" s="22">
        <v>15</v>
      </c>
      <c r="K211" s="23"/>
    </row>
    <row r="212" spans="1:11" x14ac:dyDescent="0.2">
      <c r="A212" s="8"/>
      <c r="B212" s="19" t="s">
        <v>957</v>
      </c>
      <c r="C212" s="20">
        <v>205</v>
      </c>
      <c r="D212" s="21" t="s">
        <v>213</v>
      </c>
      <c r="E212" s="21" t="s">
        <v>214</v>
      </c>
      <c r="F212" s="21" t="s">
        <v>215</v>
      </c>
      <c r="G212" s="21"/>
      <c r="H212" s="21"/>
      <c r="I212" s="21" t="s">
        <v>16</v>
      </c>
      <c r="J212" s="22">
        <v>14.17</v>
      </c>
      <c r="K212" s="23"/>
    </row>
    <row r="213" spans="1:11" x14ac:dyDescent="0.2">
      <c r="A213" s="8"/>
      <c r="B213" s="19" t="s">
        <v>957</v>
      </c>
      <c r="C213" s="20">
        <v>206</v>
      </c>
      <c r="D213" s="21" t="s">
        <v>216</v>
      </c>
      <c r="E213" s="21" t="s">
        <v>962</v>
      </c>
      <c r="F213" s="21" t="s">
        <v>75</v>
      </c>
      <c r="G213" s="21"/>
      <c r="H213" s="21"/>
      <c r="I213" s="21" t="s">
        <v>49</v>
      </c>
      <c r="J213" s="22">
        <v>27</v>
      </c>
      <c r="K213" s="23"/>
    </row>
    <row r="214" spans="1:11" x14ac:dyDescent="0.2">
      <c r="A214" s="8"/>
      <c r="B214" s="19" t="s">
        <v>957</v>
      </c>
      <c r="C214" s="20">
        <v>207</v>
      </c>
      <c r="D214" s="21" t="s">
        <v>217</v>
      </c>
      <c r="E214" s="21" t="s">
        <v>218</v>
      </c>
      <c r="F214" s="21" t="s">
        <v>219</v>
      </c>
      <c r="G214" s="21"/>
      <c r="H214" s="21"/>
      <c r="I214" s="21" t="s">
        <v>49</v>
      </c>
      <c r="J214" s="22">
        <v>26.5</v>
      </c>
      <c r="K214" s="23"/>
    </row>
    <row r="215" spans="1:11" x14ac:dyDescent="0.2">
      <c r="A215" s="8"/>
      <c r="B215" s="19" t="s">
        <v>957</v>
      </c>
      <c r="C215" s="20">
        <v>208</v>
      </c>
      <c r="D215" s="21" t="s">
        <v>220</v>
      </c>
      <c r="E215" s="21" t="s">
        <v>221</v>
      </c>
      <c r="F215" s="21" t="s">
        <v>222</v>
      </c>
      <c r="G215" s="21"/>
      <c r="H215" s="21"/>
      <c r="I215" s="21" t="s">
        <v>49</v>
      </c>
      <c r="J215" s="22">
        <v>9</v>
      </c>
      <c r="K215" s="23"/>
    </row>
    <row r="216" spans="1:11" x14ac:dyDescent="0.2">
      <c r="A216" s="8"/>
      <c r="B216" s="19" t="s">
        <v>957</v>
      </c>
      <c r="C216" s="20">
        <v>209</v>
      </c>
      <c r="D216" s="21" t="s">
        <v>959</v>
      </c>
      <c r="E216" s="21" t="s">
        <v>223</v>
      </c>
      <c r="F216" s="21"/>
      <c r="G216" s="21"/>
      <c r="H216" s="21"/>
      <c r="I216" s="21" t="s">
        <v>49</v>
      </c>
      <c r="J216" s="22">
        <v>6.2270000000000003</v>
      </c>
      <c r="K216" s="23"/>
    </row>
    <row r="217" spans="1:11" x14ac:dyDescent="0.2">
      <c r="A217" s="8"/>
      <c r="B217" s="19" t="s">
        <v>957</v>
      </c>
      <c r="C217" s="20">
        <v>210</v>
      </c>
      <c r="D217" s="21" t="s">
        <v>959</v>
      </c>
      <c r="E217" s="21" t="s">
        <v>224</v>
      </c>
      <c r="F217" s="21"/>
      <c r="G217" s="21"/>
      <c r="H217" s="21"/>
      <c r="I217" s="21" t="s">
        <v>49</v>
      </c>
      <c r="J217" s="22">
        <v>66</v>
      </c>
      <c r="K217" s="23"/>
    </row>
    <row r="218" spans="1:11" x14ac:dyDescent="0.2">
      <c r="A218" s="8"/>
      <c r="B218" s="19" t="s">
        <v>957</v>
      </c>
      <c r="C218" s="20">
        <v>211</v>
      </c>
      <c r="D218" s="21" t="s">
        <v>225</v>
      </c>
      <c r="E218" s="21" t="s">
        <v>226</v>
      </c>
      <c r="F218" s="21" t="s">
        <v>58</v>
      </c>
      <c r="G218" s="21"/>
      <c r="H218" s="21"/>
      <c r="I218" s="21" t="s">
        <v>49</v>
      </c>
      <c r="J218" s="22">
        <v>19.5</v>
      </c>
      <c r="K218" s="23"/>
    </row>
    <row r="219" spans="1:11" x14ac:dyDescent="0.2">
      <c r="A219" s="8"/>
      <c r="B219" s="19" t="s">
        <v>957</v>
      </c>
      <c r="C219" s="20">
        <v>212</v>
      </c>
      <c r="D219" s="21" t="s">
        <v>227</v>
      </c>
      <c r="E219" s="21" t="s">
        <v>226</v>
      </c>
      <c r="F219" s="21" t="s">
        <v>58</v>
      </c>
      <c r="G219" s="21"/>
      <c r="H219" s="21"/>
      <c r="I219" s="21" t="s">
        <v>49</v>
      </c>
      <c r="J219" s="22">
        <v>22</v>
      </c>
      <c r="K219" s="23"/>
    </row>
    <row r="220" spans="1:11" x14ac:dyDescent="0.2">
      <c r="A220" s="8"/>
      <c r="B220" s="19" t="s">
        <v>957</v>
      </c>
      <c r="C220" s="20">
        <v>213</v>
      </c>
      <c r="D220" s="21" t="s">
        <v>228</v>
      </c>
      <c r="E220" s="21"/>
      <c r="F220" s="21"/>
      <c r="G220" s="21"/>
      <c r="H220" s="21"/>
      <c r="I220" s="21" t="s">
        <v>49</v>
      </c>
      <c r="J220" s="22">
        <v>24</v>
      </c>
      <c r="K220" s="23"/>
    </row>
    <row r="221" spans="1:11" x14ac:dyDescent="0.2">
      <c r="A221" s="8"/>
      <c r="B221" s="19" t="s">
        <v>957</v>
      </c>
      <c r="C221" s="20">
        <v>214</v>
      </c>
      <c r="D221" s="21" t="s">
        <v>229</v>
      </c>
      <c r="E221" s="21"/>
      <c r="F221" s="21"/>
      <c r="G221" s="21"/>
      <c r="H221" s="21"/>
      <c r="I221" s="21" t="s">
        <v>49</v>
      </c>
      <c r="J221" s="22">
        <v>102.92</v>
      </c>
      <c r="K221" s="23"/>
    </row>
    <row r="222" spans="1:11" x14ac:dyDescent="0.2">
      <c r="A222" s="8"/>
      <c r="B222" s="19" t="s">
        <v>957</v>
      </c>
      <c r="C222" s="20">
        <v>215</v>
      </c>
      <c r="D222" s="21" t="s">
        <v>230</v>
      </c>
      <c r="E222" s="21" t="s">
        <v>231</v>
      </c>
      <c r="F222" s="21" t="s">
        <v>232</v>
      </c>
      <c r="G222" s="21"/>
      <c r="H222" s="21"/>
      <c r="I222" s="21" t="s">
        <v>49</v>
      </c>
      <c r="J222" s="22">
        <v>10.227</v>
      </c>
      <c r="K222" s="23"/>
    </row>
    <row r="223" spans="1:11" x14ac:dyDescent="0.2">
      <c r="A223" s="8"/>
      <c r="B223" s="19" t="s">
        <v>957</v>
      </c>
      <c r="C223" s="20">
        <v>216</v>
      </c>
      <c r="D223" s="21" t="s">
        <v>233</v>
      </c>
      <c r="E223" s="21"/>
      <c r="F223" s="21"/>
      <c r="G223" s="21"/>
      <c r="H223" s="21"/>
      <c r="I223" s="21" t="s">
        <v>49</v>
      </c>
      <c r="J223" s="22">
        <v>18.41</v>
      </c>
      <c r="K223" s="23"/>
    </row>
    <row r="224" spans="1:11" x14ac:dyDescent="0.2">
      <c r="A224" s="8"/>
      <c r="B224" s="19" t="s">
        <v>957</v>
      </c>
      <c r="C224" s="20">
        <v>217</v>
      </c>
      <c r="D224" s="21" t="s">
        <v>234</v>
      </c>
      <c r="E224" s="21" t="s">
        <v>226</v>
      </c>
      <c r="F224" s="21" t="s">
        <v>58</v>
      </c>
      <c r="G224" s="21"/>
      <c r="H224" s="21"/>
      <c r="I224" s="21" t="s">
        <v>49</v>
      </c>
      <c r="J224" s="22">
        <v>6</v>
      </c>
      <c r="K224" s="23"/>
    </row>
    <row r="225" spans="1:11" x14ac:dyDescent="0.2">
      <c r="A225" s="8"/>
      <c r="B225" s="19" t="s">
        <v>957</v>
      </c>
      <c r="C225" s="20">
        <v>218</v>
      </c>
      <c r="D225" s="21" t="s">
        <v>235</v>
      </c>
      <c r="E225" s="21" t="s">
        <v>236</v>
      </c>
      <c r="F225" s="21" t="s">
        <v>237</v>
      </c>
      <c r="G225" s="21"/>
      <c r="H225" s="21"/>
      <c r="I225" s="21" t="s">
        <v>49</v>
      </c>
      <c r="J225" s="22">
        <v>30</v>
      </c>
      <c r="K225" s="23"/>
    </row>
    <row r="226" spans="1:11" x14ac:dyDescent="0.2">
      <c r="A226" s="8"/>
      <c r="B226" s="19" t="s">
        <v>957</v>
      </c>
      <c r="C226" s="20">
        <v>219</v>
      </c>
      <c r="D226" s="21" t="s">
        <v>238</v>
      </c>
      <c r="E226" s="21" t="s">
        <v>239</v>
      </c>
      <c r="F226" s="21" t="s">
        <v>240</v>
      </c>
      <c r="G226" s="21"/>
      <c r="H226" s="21"/>
      <c r="I226" s="21" t="s">
        <v>49</v>
      </c>
      <c r="J226" s="22">
        <v>10.95</v>
      </c>
      <c r="K226" s="23"/>
    </row>
    <row r="227" spans="1:11" x14ac:dyDescent="0.2">
      <c r="A227" s="8"/>
      <c r="B227" s="19" t="s">
        <v>957</v>
      </c>
      <c r="C227" s="20">
        <v>220</v>
      </c>
      <c r="D227" s="21" t="s">
        <v>418</v>
      </c>
      <c r="E227" s="21"/>
      <c r="F227" s="21"/>
      <c r="G227" s="21"/>
      <c r="H227" s="21"/>
      <c r="I227" s="21"/>
      <c r="J227" s="22">
        <v>12.9</v>
      </c>
      <c r="K227" s="23"/>
    </row>
    <row r="228" spans="1:11" x14ac:dyDescent="0.2">
      <c r="A228" s="8"/>
      <c r="B228" s="19" t="s">
        <v>957</v>
      </c>
      <c r="C228" s="20">
        <v>221</v>
      </c>
      <c r="D228" s="21" t="s">
        <v>960</v>
      </c>
      <c r="E228" s="21" t="s">
        <v>241</v>
      </c>
      <c r="F228" s="21" t="s">
        <v>232</v>
      </c>
      <c r="G228" s="21"/>
      <c r="H228" s="21"/>
      <c r="I228" s="21" t="s">
        <v>49</v>
      </c>
      <c r="J228" s="22">
        <v>29.9</v>
      </c>
      <c r="K228" s="23"/>
    </row>
    <row r="229" spans="1:11" x14ac:dyDescent="0.2">
      <c r="A229" s="8"/>
      <c r="B229" s="19" t="s">
        <v>957</v>
      </c>
      <c r="C229" s="20">
        <v>222</v>
      </c>
      <c r="D229" s="21" t="s">
        <v>242</v>
      </c>
      <c r="E229" s="21"/>
      <c r="F229" s="21"/>
      <c r="G229" s="21"/>
      <c r="H229" s="21"/>
      <c r="I229" s="21"/>
      <c r="J229" s="22">
        <v>17.97</v>
      </c>
      <c r="K229" s="23"/>
    </row>
    <row r="230" spans="1:11" x14ac:dyDescent="0.2">
      <c r="A230" s="8"/>
      <c r="B230" s="19" t="s">
        <v>957</v>
      </c>
      <c r="C230" s="20">
        <v>223</v>
      </c>
      <c r="D230" s="21" t="s">
        <v>243</v>
      </c>
      <c r="E230" s="21" t="s">
        <v>244</v>
      </c>
      <c r="F230" s="21" t="s">
        <v>75</v>
      </c>
      <c r="G230" s="21"/>
      <c r="H230" s="21"/>
      <c r="I230" s="21" t="s">
        <v>49</v>
      </c>
      <c r="J230" s="22">
        <v>9.77</v>
      </c>
      <c r="K230" s="23"/>
    </row>
    <row r="231" spans="1:11" x14ac:dyDescent="0.2">
      <c r="A231" s="8"/>
      <c r="B231" s="19" t="s">
        <v>957</v>
      </c>
      <c r="C231" s="20">
        <v>224</v>
      </c>
      <c r="D231" s="21" t="s">
        <v>256</v>
      </c>
      <c r="E231" s="21" t="s">
        <v>244</v>
      </c>
      <c r="F231" s="21" t="s">
        <v>65</v>
      </c>
      <c r="G231" s="21"/>
      <c r="H231" s="21"/>
      <c r="I231" s="21" t="s">
        <v>96</v>
      </c>
      <c r="J231" s="22">
        <v>65</v>
      </c>
      <c r="K231" s="23"/>
    </row>
    <row r="232" spans="1:11" x14ac:dyDescent="0.2">
      <c r="A232" s="8"/>
      <c r="B232" s="19" t="s">
        <v>957</v>
      </c>
      <c r="C232" s="20">
        <v>225</v>
      </c>
      <c r="D232" s="21" t="s">
        <v>259</v>
      </c>
      <c r="E232" s="21" t="s">
        <v>260</v>
      </c>
      <c r="F232" s="21" t="s">
        <v>261</v>
      </c>
      <c r="G232" s="21"/>
      <c r="H232" s="21"/>
      <c r="I232" s="21" t="s">
        <v>49</v>
      </c>
      <c r="J232" s="22">
        <v>39.1</v>
      </c>
      <c r="K232" s="23"/>
    </row>
    <row r="233" spans="1:11" x14ac:dyDescent="0.2">
      <c r="A233" s="8"/>
      <c r="B233" s="19" t="s">
        <v>957</v>
      </c>
      <c r="C233" s="20">
        <v>226</v>
      </c>
      <c r="D233" s="21" t="s">
        <v>257</v>
      </c>
      <c r="E233" s="21" t="s">
        <v>258</v>
      </c>
      <c r="F233" s="21"/>
      <c r="G233" s="21"/>
      <c r="H233" s="21"/>
      <c r="I233" s="21"/>
      <c r="J233" s="22">
        <v>115</v>
      </c>
      <c r="K233" s="23"/>
    </row>
    <row r="234" spans="1:11" x14ac:dyDescent="0.2">
      <c r="A234" s="8"/>
      <c r="B234" s="19" t="s">
        <v>957</v>
      </c>
      <c r="C234" s="20">
        <v>227</v>
      </c>
      <c r="D234" s="21" t="s">
        <v>961</v>
      </c>
      <c r="E234" s="21" t="s">
        <v>262</v>
      </c>
      <c r="F234" s="21" t="s">
        <v>263</v>
      </c>
      <c r="G234" s="21"/>
      <c r="H234" s="21"/>
      <c r="I234" s="21" t="s">
        <v>49</v>
      </c>
      <c r="J234" s="22">
        <v>30</v>
      </c>
      <c r="K234" s="23"/>
    </row>
    <row r="235" spans="1:11" x14ac:dyDescent="0.2">
      <c r="A235" s="8"/>
      <c r="B235" s="19" t="s">
        <v>957</v>
      </c>
      <c r="C235" s="20">
        <v>228</v>
      </c>
      <c r="D235" s="21" t="s">
        <v>264</v>
      </c>
      <c r="E235" s="21" t="s">
        <v>265</v>
      </c>
      <c r="F235" s="21" t="s">
        <v>266</v>
      </c>
      <c r="G235" s="21"/>
      <c r="H235" s="21"/>
      <c r="I235" s="21" t="s">
        <v>267</v>
      </c>
      <c r="J235" s="22">
        <v>0.14499999999999999</v>
      </c>
      <c r="K235" s="23"/>
    </row>
    <row r="236" spans="1:11" x14ac:dyDescent="0.2">
      <c r="A236" s="8"/>
      <c r="B236" s="19" t="s">
        <v>957</v>
      </c>
      <c r="C236" s="20">
        <v>229</v>
      </c>
      <c r="D236" s="21" t="s">
        <v>268</v>
      </c>
      <c r="E236" s="21" t="s">
        <v>269</v>
      </c>
      <c r="F236" s="21"/>
      <c r="G236" s="21"/>
      <c r="H236" s="21"/>
      <c r="I236" s="21" t="s">
        <v>49</v>
      </c>
      <c r="J236" s="22"/>
      <c r="K236" s="23"/>
    </row>
    <row r="237" spans="1:11" x14ac:dyDescent="0.2">
      <c r="A237" s="8"/>
      <c r="B237" s="19" t="s">
        <v>957</v>
      </c>
      <c r="C237" s="20">
        <v>230</v>
      </c>
      <c r="D237" s="21" t="s">
        <v>270</v>
      </c>
      <c r="E237" s="21" t="s">
        <v>244</v>
      </c>
      <c r="F237" s="21" t="s">
        <v>271</v>
      </c>
      <c r="G237" s="21"/>
      <c r="H237" s="21"/>
      <c r="I237" s="21" t="s">
        <v>49</v>
      </c>
      <c r="J237" s="22">
        <v>11</v>
      </c>
      <c r="K237" s="23"/>
    </row>
    <row r="238" spans="1:11" x14ac:dyDescent="0.2">
      <c r="A238" s="8"/>
      <c r="B238" s="19" t="s">
        <v>957</v>
      </c>
      <c r="C238" s="20">
        <v>231</v>
      </c>
      <c r="D238" s="21" t="s">
        <v>272</v>
      </c>
      <c r="E238" s="21" t="s">
        <v>273</v>
      </c>
      <c r="F238" s="21" t="s">
        <v>161</v>
      </c>
      <c r="G238" s="21"/>
      <c r="H238" s="21"/>
      <c r="I238" s="21" t="s">
        <v>49</v>
      </c>
      <c r="J238" s="22">
        <v>360</v>
      </c>
      <c r="K238" s="23"/>
    </row>
    <row r="239" spans="1:11" x14ac:dyDescent="0.2">
      <c r="A239" s="8"/>
      <c r="B239" s="19" t="s">
        <v>957</v>
      </c>
      <c r="C239" s="20">
        <v>232</v>
      </c>
      <c r="D239" s="21" t="s">
        <v>274</v>
      </c>
      <c r="E239" s="21" t="s">
        <v>962</v>
      </c>
      <c r="F239" s="21" t="s">
        <v>78</v>
      </c>
      <c r="G239" s="21"/>
      <c r="H239" s="21"/>
      <c r="I239" s="21" t="s">
        <v>49</v>
      </c>
      <c r="J239" s="22">
        <v>14</v>
      </c>
      <c r="K239" s="23"/>
    </row>
    <row r="240" spans="1:11" x14ac:dyDescent="0.2">
      <c r="A240" s="8"/>
      <c r="B240" s="19" t="s">
        <v>957</v>
      </c>
      <c r="C240" s="20">
        <v>233</v>
      </c>
      <c r="D240" s="21" t="s">
        <v>963</v>
      </c>
      <c r="E240" s="21" t="s">
        <v>241</v>
      </c>
      <c r="F240" s="21" t="s">
        <v>75</v>
      </c>
      <c r="G240" s="21"/>
      <c r="H240" s="21"/>
      <c r="I240" s="21" t="s">
        <v>49</v>
      </c>
      <c r="J240" s="22">
        <v>67</v>
      </c>
      <c r="K240" s="23"/>
    </row>
    <row r="241" spans="1:11" x14ac:dyDescent="0.2">
      <c r="A241" s="8"/>
      <c r="B241" s="19" t="s">
        <v>957</v>
      </c>
      <c r="C241" s="20">
        <v>234</v>
      </c>
      <c r="D241" s="21" t="s">
        <v>275</v>
      </c>
      <c r="E241" s="21" t="s">
        <v>276</v>
      </c>
      <c r="F241" s="21" t="s">
        <v>161</v>
      </c>
      <c r="G241" s="21"/>
      <c r="H241" s="21"/>
      <c r="I241" s="21" t="s">
        <v>49</v>
      </c>
      <c r="J241" s="22">
        <v>85.36</v>
      </c>
      <c r="K241" s="23"/>
    </row>
    <row r="242" spans="1:11" x14ac:dyDescent="0.2">
      <c r="A242" s="8"/>
      <c r="B242" s="19" t="s">
        <v>957</v>
      </c>
      <c r="C242" s="20">
        <v>235</v>
      </c>
      <c r="D242" s="21" t="s">
        <v>284</v>
      </c>
      <c r="E242" s="21" t="s">
        <v>244</v>
      </c>
      <c r="F242" s="21"/>
      <c r="G242" s="21"/>
      <c r="H242" s="21"/>
      <c r="I242" s="21" t="s">
        <v>16</v>
      </c>
      <c r="J242" s="22">
        <v>10.6</v>
      </c>
      <c r="K242" s="23"/>
    </row>
    <row r="243" spans="1:11" x14ac:dyDescent="0.2">
      <c r="A243" s="8"/>
      <c r="B243" s="19" t="s">
        <v>957</v>
      </c>
      <c r="C243" s="20">
        <v>236</v>
      </c>
      <c r="D243" s="21" t="s">
        <v>277</v>
      </c>
      <c r="E243" s="21" t="s">
        <v>278</v>
      </c>
      <c r="F243" s="21" t="s">
        <v>58</v>
      </c>
      <c r="G243" s="21"/>
      <c r="H243" s="21"/>
      <c r="I243" s="21" t="s">
        <v>49</v>
      </c>
      <c r="J243" s="22">
        <v>49.04</v>
      </c>
      <c r="K243" s="23"/>
    </row>
    <row r="244" spans="1:11" x14ac:dyDescent="0.2">
      <c r="A244" s="8"/>
      <c r="B244" s="19" t="s">
        <v>957</v>
      </c>
      <c r="C244" s="20">
        <v>237</v>
      </c>
      <c r="D244" s="21" t="s">
        <v>279</v>
      </c>
      <c r="E244" s="21"/>
      <c r="F244" s="21"/>
      <c r="G244" s="21"/>
      <c r="H244" s="21"/>
      <c r="I244" s="21" t="s">
        <v>49</v>
      </c>
      <c r="J244" s="22"/>
      <c r="K244" s="23"/>
    </row>
    <row r="245" spans="1:11" x14ac:dyDescent="0.2">
      <c r="A245" s="8"/>
      <c r="B245" s="19" t="s">
        <v>957</v>
      </c>
      <c r="C245" s="20">
        <v>238</v>
      </c>
      <c r="D245" s="21" t="s">
        <v>280</v>
      </c>
      <c r="E245" s="21" t="s">
        <v>231</v>
      </c>
      <c r="F245" s="21"/>
      <c r="G245" s="21"/>
      <c r="H245" s="21"/>
      <c r="I245" s="21" t="s">
        <v>49</v>
      </c>
      <c r="J245" s="22">
        <v>13.2</v>
      </c>
      <c r="K245" s="23"/>
    </row>
    <row r="246" spans="1:11" x14ac:dyDescent="0.2">
      <c r="A246" s="8"/>
      <c r="B246" s="19" t="s">
        <v>957</v>
      </c>
      <c r="C246" s="20">
        <v>239</v>
      </c>
      <c r="D246" s="21" t="s">
        <v>281</v>
      </c>
      <c r="E246" s="21" t="s">
        <v>282</v>
      </c>
      <c r="F246" s="21" t="s">
        <v>283</v>
      </c>
      <c r="G246" s="21"/>
      <c r="H246" s="21"/>
      <c r="I246" s="21" t="s">
        <v>49</v>
      </c>
      <c r="J246" s="22">
        <v>300</v>
      </c>
      <c r="K246" s="23"/>
    </row>
    <row r="247" spans="1:11" x14ac:dyDescent="0.2">
      <c r="A247" s="8"/>
      <c r="B247" s="19" t="s">
        <v>957</v>
      </c>
      <c r="C247" s="20">
        <v>240</v>
      </c>
      <c r="D247" s="21"/>
      <c r="E247" s="21"/>
      <c r="F247" s="21"/>
      <c r="G247" s="21"/>
      <c r="H247" s="21"/>
      <c r="I247" s="21"/>
      <c r="J247" s="22"/>
      <c r="K247" s="23"/>
    </row>
    <row r="248" spans="1:11" x14ac:dyDescent="0.2">
      <c r="A248" s="8"/>
      <c r="B248" s="19" t="s">
        <v>957</v>
      </c>
      <c r="C248" s="20">
        <v>241</v>
      </c>
      <c r="D248" s="21"/>
      <c r="E248" s="21"/>
      <c r="F248" s="21"/>
      <c r="G248" s="21"/>
      <c r="H248" s="21"/>
      <c r="I248" s="21"/>
      <c r="J248" s="22"/>
      <c r="K248" s="23"/>
    </row>
    <row r="249" spans="1:11" x14ac:dyDescent="0.2">
      <c r="A249" s="8"/>
      <c r="B249" s="19" t="s">
        <v>957</v>
      </c>
      <c r="C249" s="20">
        <v>242</v>
      </c>
      <c r="D249" s="21" t="s">
        <v>928</v>
      </c>
      <c r="E249" s="21"/>
      <c r="F249" s="21"/>
      <c r="G249" s="21"/>
      <c r="H249" s="21"/>
      <c r="I249" s="21"/>
      <c r="J249" s="22">
        <v>7</v>
      </c>
      <c r="K249" s="23" t="s">
        <v>489</v>
      </c>
    </row>
    <row r="250" spans="1:11" x14ac:dyDescent="0.2">
      <c r="A250" s="8"/>
      <c r="B250" s="19" t="s">
        <v>957</v>
      </c>
      <c r="C250" s="20">
        <v>243</v>
      </c>
      <c r="D250" s="21"/>
      <c r="E250" s="21"/>
      <c r="F250" s="21"/>
      <c r="G250" s="21"/>
      <c r="H250" s="21"/>
      <c r="I250" s="21"/>
      <c r="J250" s="22"/>
      <c r="K250" s="23"/>
    </row>
    <row r="251" spans="1:11" x14ac:dyDescent="0.2">
      <c r="A251" s="8"/>
      <c r="B251" s="19" t="s">
        <v>957</v>
      </c>
      <c r="C251" s="20">
        <v>244</v>
      </c>
      <c r="D251" s="21"/>
      <c r="E251" s="21"/>
      <c r="F251" s="21"/>
      <c r="G251" s="21"/>
      <c r="H251" s="21"/>
      <c r="I251" s="21"/>
      <c r="J251" s="22"/>
      <c r="K251" s="23"/>
    </row>
    <row r="252" spans="1:11" x14ac:dyDescent="0.2">
      <c r="A252" s="8"/>
      <c r="B252" s="19" t="s">
        <v>957</v>
      </c>
      <c r="C252" s="20">
        <v>245</v>
      </c>
      <c r="D252" s="21"/>
      <c r="E252" s="21"/>
      <c r="F252" s="21"/>
      <c r="G252" s="21"/>
      <c r="H252" s="21"/>
      <c r="I252" s="21"/>
      <c r="J252" s="22"/>
      <c r="K252" s="23"/>
    </row>
    <row r="253" spans="1:11" x14ac:dyDescent="0.2">
      <c r="A253" s="8"/>
      <c r="B253" s="19" t="s">
        <v>957</v>
      </c>
      <c r="C253" s="20">
        <v>246</v>
      </c>
      <c r="D253" s="21"/>
      <c r="E253" s="21"/>
      <c r="F253" s="21"/>
      <c r="G253" s="21"/>
      <c r="H253" s="21"/>
      <c r="I253" s="21"/>
      <c r="J253" s="22"/>
      <c r="K253" s="23"/>
    </row>
    <row r="254" spans="1:11" x14ac:dyDescent="0.2">
      <c r="A254" s="8"/>
      <c r="B254" s="19" t="s">
        <v>957</v>
      </c>
      <c r="C254" s="20">
        <v>247</v>
      </c>
      <c r="D254" s="21"/>
      <c r="E254" s="21"/>
      <c r="F254" s="21"/>
      <c r="G254" s="21"/>
      <c r="H254" s="21"/>
      <c r="I254" s="21"/>
      <c r="J254" s="22"/>
      <c r="K254" s="23"/>
    </row>
    <row r="255" spans="1:11" x14ac:dyDescent="0.2">
      <c r="A255" s="8"/>
      <c r="B255" s="19" t="s">
        <v>957</v>
      </c>
      <c r="C255" s="20">
        <v>248</v>
      </c>
      <c r="D255" s="21"/>
      <c r="E255" s="21"/>
      <c r="F255" s="21"/>
      <c r="G255" s="21"/>
      <c r="H255" s="21"/>
      <c r="I255" s="21"/>
      <c r="J255" s="22"/>
      <c r="K255" s="23"/>
    </row>
    <row r="256" spans="1:11" x14ac:dyDescent="0.2">
      <c r="A256" s="8"/>
      <c r="B256" s="19" t="s">
        <v>957</v>
      </c>
      <c r="C256" s="20">
        <v>249</v>
      </c>
      <c r="D256" s="21"/>
      <c r="E256" s="21"/>
      <c r="F256" s="21"/>
      <c r="G256" s="21"/>
      <c r="H256" s="21"/>
      <c r="I256" s="21"/>
      <c r="J256" s="22"/>
      <c r="K256" s="23"/>
    </row>
    <row r="257" spans="1:11" x14ac:dyDescent="0.2">
      <c r="A257" s="8"/>
      <c r="B257" s="19" t="s">
        <v>957</v>
      </c>
      <c r="C257" s="20">
        <v>250</v>
      </c>
      <c r="D257" s="21"/>
      <c r="E257" s="21"/>
      <c r="F257" s="21"/>
      <c r="G257" s="21"/>
      <c r="H257" s="21"/>
      <c r="I257" s="21"/>
      <c r="J257" s="22"/>
      <c r="K257" s="23"/>
    </row>
    <row r="258" spans="1:11" x14ac:dyDescent="0.2">
      <c r="A258" s="8"/>
      <c r="B258" s="19" t="s">
        <v>411</v>
      </c>
      <c r="C258" s="20">
        <v>251</v>
      </c>
      <c r="D258" s="21" t="s">
        <v>341</v>
      </c>
      <c r="E258" s="21"/>
      <c r="F258" s="21"/>
      <c r="G258" s="21"/>
      <c r="H258" s="21"/>
      <c r="I258" s="21"/>
      <c r="J258" s="22">
        <v>70</v>
      </c>
      <c r="K258" s="23"/>
    </row>
    <row r="259" spans="1:11" x14ac:dyDescent="0.2">
      <c r="A259" s="8"/>
      <c r="B259" s="19" t="s">
        <v>411</v>
      </c>
      <c r="C259" s="20">
        <v>252</v>
      </c>
      <c r="D259" s="21" t="s">
        <v>419</v>
      </c>
      <c r="E259" s="21"/>
      <c r="F259" s="21"/>
      <c r="G259" s="21"/>
      <c r="H259" s="21"/>
      <c r="I259" s="21"/>
      <c r="J259" s="22">
        <v>40</v>
      </c>
      <c r="K259" s="23"/>
    </row>
    <row r="260" spans="1:11" x14ac:dyDescent="0.2">
      <c r="A260" s="8"/>
      <c r="B260" s="19" t="s">
        <v>411</v>
      </c>
      <c r="C260" s="20">
        <v>253</v>
      </c>
      <c r="D260" s="21"/>
      <c r="E260" s="21"/>
      <c r="F260" s="21"/>
      <c r="G260" s="21"/>
      <c r="H260" s="21"/>
      <c r="I260" s="21"/>
      <c r="J260" s="22"/>
      <c r="K260" s="23"/>
    </row>
    <row r="261" spans="1:11" x14ac:dyDescent="0.2">
      <c r="A261" s="8"/>
      <c r="B261" s="19" t="s">
        <v>411</v>
      </c>
      <c r="C261" s="20">
        <v>254</v>
      </c>
      <c r="D261" s="21"/>
      <c r="E261" s="21"/>
      <c r="F261" s="21"/>
      <c r="G261" s="21"/>
      <c r="H261" s="21"/>
      <c r="I261" s="21"/>
      <c r="J261" s="22"/>
      <c r="K261" s="23"/>
    </row>
    <row r="262" spans="1:11" x14ac:dyDescent="0.2">
      <c r="A262" s="8"/>
      <c r="B262" s="19" t="s">
        <v>411</v>
      </c>
      <c r="C262" s="20">
        <v>255</v>
      </c>
      <c r="D262" s="21"/>
      <c r="E262" s="21"/>
      <c r="F262" s="21"/>
      <c r="G262" s="21"/>
      <c r="H262" s="21"/>
      <c r="I262" s="21"/>
      <c r="J262" s="22"/>
      <c r="K262" s="23"/>
    </row>
    <row r="263" spans="1:11" x14ac:dyDescent="0.2">
      <c r="A263" s="8"/>
      <c r="B263" s="19" t="s">
        <v>337</v>
      </c>
      <c r="C263" s="20">
        <v>256</v>
      </c>
      <c r="D263" s="21" t="s">
        <v>420</v>
      </c>
      <c r="E263" s="21"/>
      <c r="F263" s="21"/>
      <c r="G263" s="21"/>
      <c r="H263" s="21"/>
      <c r="I263" s="21"/>
      <c r="J263" s="22">
        <v>350</v>
      </c>
      <c r="K263" s="23"/>
    </row>
    <row r="264" spans="1:11" x14ac:dyDescent="0.2">
      <c r="A264" s="8"/>
      <c r="B264" s="19" t="s">
        <v>337</v>
      </c>
      <c r="C264" s="20">
        <v>257</v>
      </c>
      <c r="D264" s="21" t="s">
        <v>421</v>
      </c>
      <c r="E264" s="21"/>
      <c r="F264" s="21"/>
      <c r="G264" s="21"/>
      <c r="H264" s="21"/>
      <c r="I264" s="21"/>
      <c r="J264" s="22">
        <v>245</v>
      </c>
      <c r="K264" s="23"/>
    </row>
    <row r="265" spans="1:11" x14ac:dyDescent="0.2">
      <c r="A265" s="8"/>
      <c r="B265" s="19" t="s">
        <v>337</v>
      </c>
      <c r="C265" s="20">
        <v>258</v>
      </c>
      <c r="D265" s="21" t="s">
        <v>343</v>
      </c>
      <c r="E265" s="21" t="s">
        <v>344</v>
      </c>
      <c r="F265" s="21"/>
      <c r="G265" s="21"/>
      <c r="H265" s="21"/>
      <c r="I265" s="21"/>
      <c r="J265" s="22">
        <v>7.0069999999999993E-2</v>
      </c>
      <c r="K265" s="23"/>
    </row>
    <row r="266" spans="1:11" x14ac:dyDescent="0.2">
      <c r="A266" s="8"/>
      <c r="B266" s="19" t="s">
        <v>337</v>
      </c>
      <c r="C266" s="20">
        <v>259</v>
      </c>
      <c r="D266" s="21" t="s">
        <v>995</v>
      </c>
      <c r="E266" s="21"/>
      <c r="F266" s="21"/>
      <c r="G266" s="21"/>
      <c r="H266" s="21"/>
      <c r="I266" s="21" t="s">
        <v>338</v>
      </c>
      <c r="J266" s="22">
        <v>5.45</v>
      </c>
      <c r="K266" s="23"/>
    </row>
    <row r="267" spans="1:11" x14ac:dyDescent="0.2">
      <c r="A267" s="8"/>
      <c r="B267" s="19" t="s">
        <v>337</v>
      </c>
      <c r="C267" s="20">
        <v>260</v>
      </c>
      <c r="D267" s="21"/>
      <c r="E267" s="21"/>
      <c r="F267" s="21"/>
      <c r="G267" s="21"/>
      <c r="H267" s="21"/>
      <c r="I267" s="21"/>
      <c r="J267" s="22"/>
      <c r="K267" s="23"/>
    </row>
    <row r="268" spans="1:11" x14ac:dyDescent="0.2">
      <c r="A268" s="8"/>
      <c r="B268" s="19" t="s">
        <v>337</v>
      </c>
      <c r="C268" s="20">
        <v>261</v>
      </c>
      <c r="D268" s="21"/>
      <c r="E268" s="21"/>
      <c r="F268" s="21"/>
      <c r="G268" s="21"/>
      <c r="H268" s="21"/>
      <c r="I268" s="21" t="s">
        <v>342</v>
      </c>
      <c r="J268" s="22"/>
      <c r="K268" s="23"/>
    </row>
    <row r="269" spans="1:11" x14ac:dyDescent="0.2">
      <c r="A269" s="8"/>
      <c r="B269" s="19" t="s">
        <v>337</v>
      </c>
      <c r="C269" s="20">
        <v>262</v>
      </c>
      <c r="D269" s="21"/>
      <c r="E269" s="21"/>
      <c r="F269" s="21"/>
      <c r="G269" s="21"/>
      <c r="H269" s="21"/>
      <c r="I269" s="21"/>
      <c r="J269" s="22"/>
      <c r="K269" s="23"/>
    </row>
    <row r="270" spans="1:11" x14ac:dyDescent="0.2">
      <c r="A270" s="8"/>
      <c r="B270" s="19" t="s">
        <v>337</v>
      </c>
      <c r="C270" s="20">
        <v>263</v>
      </c>
      <c r="D270" s="21" t="s">
        <v>363</v>
      </c>
      <c r="E270" s="21"/>
      <c r="F270" s="21"/>
      <c r="G270" s="21"/>
      <c r="H270" s="21"/>
      <c r="I270" s="21"/>
      <c r="J270" s="22">
        <v>0.04</v>
      </c>
      <c r="K270" s="23"/>
    </row>
    <row r="271" spans="1:11" x14ac:dyDescent="0.2">
      <c r="A271" s="8"/>
      <c r="B271" s="19" t="s">
        <v>337</v>
      </c>
      <c r="C271" s="20">
        <v>264</v>
      </c>
      <c r="D271" s="21" t="s">
        <v>422</v>
      </c>
      <c r="E271" s="21"/>
      <c r="F271" s="21"/>
      <c r="G271" s="21"/>
      <c r="H271" s="21"/>
      <c r="I271" s="21"/>
      <c r="J271" s="22">
        <v>6</v>
      </c>
      <c r="K271" s="23"/>
    </row>
    <row r="272" spans="1:11" x14ac:dyDescent="0.2">
      <c r="A272" s="8"/>
      <c r="B272" s="19" t="s">
        <v>337</v>
      </c>
      <c r="C272" s="20">
        <v>265</v>
      </c>
      <c r="D272" s="21" t="s">
        <v>340</v>
      </c>
      <c r="E272" s="21"/>
      <c r="F272" s="21"/>
      <c r="G272" s="21"/>
      <c r="H272" s="21"/>
      <c r="I272" s="21" t="s">
        <v>1017</v>
      </c>
      <c r="J272" s="22">
        <v>25</v>
      </c>
      <c r="K272" s="23"/>
    </row>
    <row r="273" spans="1:11" x14ac:dyDescent="0.2">
      <c r="A273" s="8"/>
      <c r="B273" s="19" t="s">
        <v>337</v>
      </c>
      <c r="C273" s="20">
        <v>266</v>
      </c>
      <c r="D273" s="21" t="s">
        <v>339</v>
      </c>
      <c r="E273" s="21"/>
      <c r="F273" s="21"/>
      <c r="G273" s="21"/>
      <c r="H273" s="21"/>
      <c r="I273" s="21" t="s">
        <v>1017</v>
      </c>
      <c r="J273" s="22">
        <v>1.2</v>
      </c>
      <c r="K273" s="23"/>
    </row>
    <row r="274" spans="1:11" x14ac:dyDescent="0.2">
      <c r="A274" s="8"/>
      <c r="B274" s="19" t="s">
        <v>337</v>
      </c>
      <c r="C274" s="20">
        <v>267</v>
      </c>
      <c r="D274" s="21" t="s">
        <v>345</v>
      </c>
      <c r="E274" s="21"/>
      <c r="F274" s="21"/>
      <c r="G274" s="21"/>
      <c r="H274" s="21"/>
      <c r="I274" s="21" t="s">
        <v>1023</v>
      </c>
      <c r="J274" s="22">
        <v>13</v>
      </c>
      <c r="K274" s="23"/>
    </row>
    <row r="275" spans="1:11" x14ac:dyDescent="0.2">
      <c r="A275" s="8"/>
      <c r="B275" s="19" t="s">
        <v>337</v>
      </c>
      <c r="C275" s="20">
        <v>268</v>
      </c>
      <c r="D275" s="21" t="s">
        <v>412</v>
      </c>
      <c r="E275" s="21"/>
      <c r="F275" s="21"/>
      <c r="G275" s="21"/>
      <c r="H275" s="21"/>
      <c r="I275" s="21"/>
      <c r="J275" s="22">
        <v>13.5</v>
      </c>
      <c r="K275" s="23"/>
    </row>
    <row r="276" spans="1:11" x14ac:dyDescent="0.2">
      <c r="A276" s="8"/>
      <c r="B276" s="19" t="s">
        <v>337</v>
      </c>
      <c r="C276" s="20">
        <v>269</v>
      </c>
      <c r="D276" s="21"/>
      <c r="E276" s="21"/>
      <c r="F276" s="21"/>
      <c r="G276" s="21"/>
      <c r="H276" s="21"/>
      <c r="I276" s="21"/>
      <c r="J276" s="22"/>
      <c r="K276" s="23"/>
    </row>
    <row r="277" spans="1:11" x14ac:dyDescent="0.2">
      <c r="A277" s="8"/>
      <c r="B277" s="19" t="s">
        <v>337</v>
      </c>
      <c r="C277" s="20">
        <v>270</v>
      </c>
      <c r="D277" s="21" t="s">
        <v>453</v>
      </c>
      <c r="E277" s="21"/>
      <c r="F277" s="21"/>
      <c r="G277" s="21"/>
      <c r="H277" s="21"/>
      <c r="I277" s="21"/>
      <c r="J277" s="22">
        <v>35</v>
      </c>
      <c r="K277" s="23"/>
    </row>
    <row r="278" spans="1:11" x14ac:dyDescent="0.2">
      <c r="A278" s="8"/>
      <c r="B278" s="19" t="s">
        <v>337</v>
      </c>
      <c r="C278" s="20">
        <v>271</v>
      </c>
      <c r="D278" s="21"/>
      <c r="E278" s="21"/>
      <c r="F278" s="21"/>
      <c r="G278" s="21"/>
      <c r="H278" s="21"/>
      <c r="I278" s="21"/>
      <c r="J278" s="22"/>
      <c r="K278" s="23"/>
    </row>
    <row r="279" spans="1:11" x14ac:dyDescent="0.2">
      <c r="A279" s="8"/>
      <c r="B279" s="19" t="s">
        <v>337</v>
      </c>
      <c r="C279" s="20">
        <v>272</v>
      </c>
      <c r="D279" s="21"/>
      <c r="E279" s="21"/>
      <c r="F279" s="21"/>
      <c r="G279" s="21"/>
      <c r="H279" s="21"/>
      <c r="I279" s="21"/>
      <c r="J279" s="22"/>
      <c r="K279" s="23"/>
    </row>
    <row r="280" spans="1:11" x14ac:dyDescent="0.2">
      <c r="A280" s="8"/>
      <c r="B280" s="19" t="s">
        <v>337</v>
      </c>
      <c r="C280" s="20">
        <v>273</v>
      </c>
      <c r="D280" s="21"/>
      <c r="E280" s="21"/>
      <c r="F280" s="21"/>
      <c r="G280" s="21"/>
      <c r="H280" s="21"/>
      <c r="I280" s="21"/>
      <c r="J280" s="22"/>
      <c r="K280" s="23"/>
    </row>
    <row r="281" spans="1:11" x14ac:dyDescent="0.2">
      <c r="A281" s="8"/>
      <c r="B281" s="19" t="s">
        <v>337</v>
      </c>
      <c r="C281" s="20">
        <v>274</v>
      </c>
      <c r="D281" s="21"/>
      <c r="E281" s="21"/>
      <c r="F281" s="21"/>
      <c r="G281" s="21"/>
      <c r="H281" s="21"/>
      <c r="I281" s="21"/>
      <c r="J281" s="22"/>
      <c r="K281" s="23"/>
    </row>
    <row r="282" spans="1:11" x14ac:dyDescent="0.2">
      <c r="A282" s="8"/>
      <c r="B282" s="19" t="s">
        <v>337</v>
      </c>
      <c r="C282" s="20">
        <v>275</v>
      </c>
      <c r="D282" s="21"/>
      <c r="E282" s="21"/>
      <c r="F282" s="21"/>
      <c r="G282" s="21"/>
      <c r="H282" s="21"/>
      <c r="I282" s="21"/>
      <c r="J282" s="22"/>
      <c r="K282" s="23"/>
    </row>
    <row r="283" spans="1:11" x14ac:dyDescent="0.2">
      <c r="A283" s="8"/>
      <c r="B283" s="19" t="s">
        <v>337</v>
      </c>
      <c r="C283" s="20">
        <v>276</v>
      </c>
      <c r="D283" s="21"/>
      <c r="E283" s="21"/>
      <c r="F283" s="21"/>
      <c r="G283" s="21"/>
      <c r="H283" s="21"/>
      <c r="I283" s="21"/>
      <c r="J283" s="22"/>
      <c r="K283" s="23"/>
    </row>
    <row r="284" spans="1:11" x14ac:dyDescent="0.2">
      <c r="A284" s="8"/>
      <c r="B284" s="19" t="s">
        <v>337</v>
      </c>
      <c r="C284" s="20">
        <v>277</v>
      </c>
      <c r="D284" s="21"/>
      <c r="E284" s="21"/>
      <c r="F284" s="21"/>
      <c r="G284" s="21"/>
      <c r="H284" s="21"/>
      <c r="I284" s="21"/>
      <c r="J284" s="22"/>
      <c r="K284" s="23"/>
    </row>
    <row r="285" spans="1:11" x14ac:dyDescent="0.2">
      <c r="A285" s="8"/>
      <c r="B285" s="19" t="s">
        <v>931</v>
      </c>
      <c r="C285" s="20">
        <v>278</v>
      </c>
      <c r="D285" s="21" t="s">
        <v>285</v>
      </c>
      <c r="E285" s="21" t="s">
        <v>286</v>
      </c>
      <c r="F285" s="21"/>
      <c r="G285" s="21"/>
      <c r="H285" s="21"/>
      <c r="I285" s="21" t="s">
        <v>16</v>
      </c>
      <c r="J285" s="22">
        <v>1.1000000000000001</v>
      </c>
      <c r="K285" s="23"/>
    </row>
    <row r="286" spans="1:11" x14ac:dyDescent="0.2">
      <c r="A286" s="8"/>
      <c r="B286" s="19" t="s">
        <v>931</v>
      </c>
      <c r="C286" s="20">
        <v>279</v>
      </c>
      <c r="D286" s="21" t="s">
        <v>404</v>
      </c>
      <c r="E286" s="21"/>
      <c r="F286" s="21"/>
      <c r="G286" s="21"/>
      <c r="H286" s="21"/>
      <c r="I286" s="21" t="s">
        <v>405</v>
      </c>
      <c r="J286" s="187">
        <v>3.5</v>
      </c>
      <c r="K286" s="23"/>
    </row>
    <row r="287" spans="1:11" x14ac:dyDescent="0.2">
      <c r="A287" s="8"/>
      <c r="B287" s="19" t="s">
        <v>931</v>
      </c>
      <c r="C287" s="20">
        <v>280</v>
      </c>
      <c r="D287" s="21" t="s">
        <v>314</v>
      </c>
      <c r="E287" s="21"/>
      <c r="F287" s="21"/>
      <c r="G287" s="21"/>
      <c r="H287" s="21"/>
      <c r="I287" s="21" t="s">
        <v>1023</v>
      </c>
      <c r="J287" s="22">
        <v>20</v>
      </c>
      <c r="K287" s="23"/>
    </row>
    <row r="288" spans="1:11" x14ac:dyDescent="0.2">
      <c r="A288" s="8"/>
      <c r="B288" s="19" t="s">
        <v>931</v>
      </c>
      <c r="C288" s="20">
        <v>281</v>
      </c>
      <c r="D288" s="21" t="s">
        <v>287</v>
      </c>
      <c r="E288" s="21"/>
      <c r="F288" s="21"/>
      <c r="G288" s="21"/>
      <c r="H288" s="21"/>
      <c r="I288" s="21" t="s">
        <v>16</v>
      </c>
      <c r="J288" s="22">
        <v>1.3</v>
      </c>
      <c r="K288" s="23"/>
    </row>
    <row r="289" spans="1:11" x14ac:dyDescent="0.2">
      <c r="A289" s="8"/>
      <c r="B289" s="19" t="s">
        <v>931</v>
      </c>
      <c r="C289" s="20">
        <v>282</v>
      </c>
      <c r="D289" s="21" t="s">
        <v>413</v>
      </c>
      <c r="E289" s="21"/>
      <c r="F289" s="21"/>
      <c r="G289" s="21"/>
      <c r="H289" s="21"/>
      <c r="I289" s="21"/>
      <c r="J289" s="22">
        <v>10</v>
      </c>
      <c r="K289" s="23"/>
    </row>
    <row r="290" spans="1:11" x14ac:dyDescent="0.2">
      <c r="A290" s="8"/>
      <c r="B290" s="19" t="s">
        <v>931</v>
      </c>
      <c r="C290" s="20">
        <v>283</v>
      </c>
      <c r="D290" s="21" t="s">
        <v>447</v>
      </c>
      <c r="E290" s="21"/>
      <c r="F290" s="21"/>
      <c r="G290" s="21"/>
      <c r="H290" s="21"/>
      <c r="I290" s="21" t="s">
        <v>16</v>
      </c>
      <c r="J290" s="22">
        <v>10</v>
      </c>
      <c r="K290" s="23"/>
    </row>
    <row r="291" spans="1:11" x14ac:dyDescent="0.2">
      <c r="A291" s="8"/>
      <c r="B291" s="19" t="s">
        <v>931</v>
      </c>
      <c r="C291" s="20">
        <v>284</v>
      </c>
      <c r="D291" s="21" t="s">
        <v>590</v>
      </c>
      <c r="E291" s="21"/>
      <c r="F291" s="21"/>
      <c r="G291" s="21"/>
      <c r="H291" s="21"/>
      <c r="I291" s="21" t="s">
        <v>16</v>
      </c>
      <c r="J291" s="22">
        <v>2</v>
      </c>
      <c r="K291" s="23"/>
    </row>
    <row r="292" spans="1:11" x14ac:dyDescent="0.2">
      <c r="A292" s="8"/>
      <c r="B292" s="19" t="s">
        <v>931</v>
      </c>
      <c r="C292" s="20">
        <v>285</v>
      </c>
      <c r="D292" s="21" t="s">
        <v>454</v>
      </c>
      <c r="E292" s="21"/>
      <c r="F292" s="21"/>
      <c r="G292" s="21"/>
      <c r="H292" s="21"/>
      <c r="I292" s="21" t="s">
        <v>16</v>
      </c>
      <c r="J292" s="187">
        <v>6</v>
      </c>
      <c r="K292" s="23"/>
    </row>
    <row r="293" spans="1:11" x14ac:dyDescent="0.2">
      <c r="A293" s="8"/>
      <c r="B293" s="19" t="s">
        <v>931</v>
      </c>
      <c r="C293" s="20">
        <v>286</v>
      </c>
      <c r="D293" s="21" t="s">
        <v>288</v>
      </c>
      <c r="E293" s="21" t="s">
        <v>406</v>
      </c>
      <c r="F293" s="21"/>
      <c r="G293" s="21"/>
      <c r="H293" s="21"/>
      <c r="I293" s="21" t="s">
        <v>16</v>
      </c>
      <c r="J293" s="22">
        <v>17</v>
      </c>
      <c r="K293" s="23"/>
    </row>
    <row r="294" spans="1:11" x14ac:dyDescent="0.2">
      <c r="A294" s="8"/>
      <c r="B294" s="19" t="s">
        <v>931</v>
      </c>
      <c r="C294" s="20">
        <v>287</v>
      </c>
      <c r="D294" s="21" t="s">
        <v>359</v>
      </c>
      <c r="E294" s="21"/>
      <c r="F294" s="21"/>
      <c r="G294" s="21"/>
      <c r="H294" s="21"/>
      <c r="I294" s="21" t="s">
        <v>16</v>
      </c>
      <c r="J294" s="22">
        <v>0.4</v>
      </c>
      <c r="K294" s="23"/>
    </row>
    <row r="295" spans="1:11" x14ac:dyDescent="0.2">
      <c r="A295" s="8"/>
      <c r="B295" s="19" t="s">
        <v>931</v>
      </c>
      <c r="C295" s="20">
        <v>288</v>
      </c>
      <c r="D295" s="21" t="s">
        <v>289</v>
      </c>
      <c r="E295" s="21" t="s">
        <v>290</v>
      </c>
      <c r="F295" s="21"/>
      <c r="G295" s="21"/>
      <c r="H295" s="21"/>
      <c r="I295" s="21" t="s">
        <v>16</v>
      </c>
      <c r="J295" s="22">
        <v>5.4539999999999997</v>
      </c>
      <c r="K295" s="23"/>
    </row>
    <row r="296" spans="1:11" x14ac:dyDescent="0.2">
      <c r="A296" s="8"/>
      <c r="B296" s="19" t="s">
        <v>931</v>
      </c>
      <c r="C296" s="20">
        <v>289</v>
      </c>
      <c r="D296" s="21" t="s">
        <v>291</v>
      </c>
      <c r="E296" s="21" t="s">
        <v>292</v>
      </c>
      <c r="F296" s="21"/>
      <c r="G296" s="21"/>
      <c r="H296" s="21"/>
      <c r="I296" s="21" t="s">
        <v>16</v>
      </c>
      <c r="J296" s="22">
        <v>6.51</v>
      </c>
      <c r="K296" s="23"/>
    </row>
    <row r="297" spans="1:11" x14ac:dyDescent="0.2">
      <c r="A297" s="8"/>
      <c r="B297" s="19" t="s">
        <v>931</v>
      </c>
      <c r="C297" s="20">
        <v>290</v>
      </c>
      <c r="D297" s="21" t="s">
        <v>932</v>
      </c>
      <c r="E297" s="21" t="s">
        <v>293</v>
      </c>
      <c r="F297" s="21"/>
      <c r="G297" s="21"/>
      <c r="H297" s="21"/>
      <c r="I297" s="21" t="s">
        <v>16</v>
      </c>
      <c r="J297" s="22">
        <v>1</v>
      </c>
      <c r="K297" s="23"/>
    </row>
    <row r="298" spans="1:11" x14ac:dyDescent="0.2">
      <c r="A298" s="8"/>
      <c r="B298" s="19" t="s">
        <v>931</v>
      </c>
      <c r="C298" s="20">
        <v>291</v>
      </c>
      <c r="D298" s="21" t="s">
        <v>933</v>
      </c>
      <c r="E298" s="21" t="s">
        <v>294</v>
      </c>
      <c r="F298" s="21"/>
      <c r="G298" s="21"/>
      <c r="H298" s="21"/>
      <c r="I298" s="21"/>
      <c r="J298" s="22">
        <v>1.45</v>
      </c>
      <c r="K298" s="23"/>
    </row>
    <row r="299" spans="1:11" x14ac:dyDescent="0.2">
      <c r="A299" s="8"/>
      <c r="B299" s="19" t="s">
        <v>931</v>
      </c>
      <c r="C299" s="20">
        <v>292</v>
      </c>
      <c r="D299" s="21" t="s">
        <v>934</v>
      </c>
      <c r="E299" s="21" t="s">
        <v>295</v>
      </c>
      <c r="F299" s="21"/>
      <c r="G299" s="21"/>
      <c r="H299" s="21"/>
      <c r="I299" s="21" t="s">
        <v>16</v>
      </c>
      <c r="J299" s="22">
        <v>1.49</v>
      </c>
      <c r="K299" s="23"/>
    </row>
    <row r="300" spans="1:11" x14ac:dyDescent="0.2">
      <c r="A300" s="8"/>
      <c r="B300" s="19" t="s">
        <v>931</v>
      </c>
      <c r="C300" s="20">
        <v>293</v>
      </c>
      <c r="D300" s="21" t="s">
        <v>367</v>
      </c>
      <c r="E300" s="21"/>
      <c r="F300" s="21"/>
      <c r="G300" s="21"/>
      <c r="H300" s="21"/>
      <c r="I300" s="21" t="s">
        <v>16</v>
      </c>
      <c r="J300" s="22">
        <v>1</v>
      </c>
      <c r="K300" s="23"/>
    </row>
    <row r="301" spans="1:11" x14ac:dyDescent="0.2">
      <c r="A301" s="8"/>
      <c r="B301" s="19" t="s">
        <v>931</v>
      </c>
      <c r="C301" s="20">
        <v>294</v>
      </c>
      <c r="D301" s="21" t="s">
        <v>296</v>
      </c>
      <c r="E301" s="21" t="s">
        <v>297</v>
      </c>
      <c r="F301" s="21" t="s">
        <v>298</v>
      </c>
      <c r="G301" s="21"/>
      <c r="H301" s="21"/>
      <c r="I301" s="21" t="s">
        <v>16</v>
      </c>
      <c r="J301" s="22">
        <v>2.91</v>
      </c>
      <c r="K301" s="23"/>
    </row>
    <row r="302" spans="1:11" x14ac:dyDescent="0.2">
      <c r="A302" s="8"/>
      <c r="B302" s="19" t="s">
        <v>931</v>
      </c>
      <c r="C302" s="20">
        <v>295</v>
      </c>
      <c r="D302" s="21" t="s">
        <v>296</v>
      </c>
      <c r="E302" s="21" t="s">
        <v>299</v>
      </c>
      <c r="F302" s="21" t="s">
        <v>300</v>
      </c>
      <c r="G302" s="21"/>
      <c r="H302" s="21"/>
      <c r="I302" s="21"/>
      <c r="J302" s="22">
        <v>2.7</v>
      </c>
      <c r="K302" s="23"/>
    </row>
    <row r="303" spans="1:11" x14ac:dyDescent="0.2">
      <c r="A303" s="8"/>
      <c r="B303" s="19" t="s">
        <v>931</v>
      </c>
      <c r="C303" s="20">
        <v>296</v>
      </c>
      <c r="D303" s="21" t="s">
        <v>296</v>
      </c>
      <c r="E303" s="21" t="s">
        <v>301</v>
      </c>
      <c r="F303" s="21" t="s">
        <v>302</v>
      </c>
      <c r="G303" s="21"/>
      <c r="H303" s="21"/>
      <c r="I303" s="21" t="s">
        <v>16</v>
      </c>
      <c r="J303" s="22">
        <v>2.7</v>
      </c>
      <c r="K303" s="23"/>
    </row>
    <row r="304" spans="1:11" x14ac:dyDescent="0.2">
      <c r="A304" s="8"/>
      <c r="B304" s="19" t="s">
        <v>931</v>
      </c>
      <c r="C304" s="20">
        <v>297</v>
      </c>
      <c r="D304" s="21" t="s">
        <v>414</v>
      </c>
      <c r="E304" s="21"/>
      <c r="F304" s="21"/>
      <c r="G304" s="21"/>
      <c r="H304" s="21"/>
      <c r="I304" s="21" t="s">
        <v>16</v>
      </c>
      <c r="J304" s="22">
        <v>1.8</v>
      </c>
      <c r="K304" s="23"/>
    </row>
    <row r="305" spans="1:11" x14ac:dyDescent="0.2">
      <c r="A305" s="8"/>
      <c r="B305" s="19" t="s">
        <v>931</v>
      </c>
      <c r="C305" s="20">
        <v>298</v>
      </c>
      <c r="D305" s="21" t="s">
        <v>303</v>
      </c>
      <c r="E305" s="21" t="s">
        <v>304</v>
      </c>
      <c r="F305" s="21"/>
      <c r="G305" s="21"/>
      <c r="H305" s="21"/>
      <c r="I305" s="21" t="s">
        <v>16</v>
      </c>
      <c r="J305" s="22">
        <v>0.81</v>
      </c>
      <c r="K305" s="23"/>
    </row>
    <row r="306" spans="1:11" x14ac:dyDescent="0.2">
      <c r="A306" s="8"/>
      <c r="B306" s="19" t="s">
        <v>931</v>
      </c>
      <c r="C306" s="20">
        <v>299</v>
      </c>
      <c r="D306" s="21" t="s">
        <v>305</v>
      </c>
      <c r="E306" s="21" t="s">
        <v>306</v>
      </c>
      <c r="F306" s="21"/>
      <c r="G306" s="21"/>
      <c r="H306" s="21"/>
      <c r="I306" s="21" t="s">
        <v>16</v>
      </c>
      <c r="J306" s="22">
        <v>0.91</v>
      </c>
      <c r="K306" s="23"/>
    </row>
    <row r="307" spans="1:11" x14ac:dyDescent="0.2">
      <c r="A307" s="8"/>
      <c r="B307" s="19" t="s">
        <v>931</v>
      </c>
      <c r="C307" s="20">
        <v>300</v>
      </c>
      <c r="D307" s="21" t="s">
        <v>307</v>
      </c>
      <c r="E307" s="21" t="s">
        <v>308</v>
      </c>
      <c r="F307" s="21"/>
      <c r="G307" s="21"/>
      <c r="H307" s="21"/>
      <c r="I307" s="21" t="s">
        <v>16</v>
      </c>
      <c r="J307" s="22">
        <v>12</v>
      </c>
      <c r="K307" s="23"/>
    </row>
    <row r="308" spans="1:11" x14ac:dyDescent="0.2">
      <c r="A308" s="8"/>
      <c r="B308" s="19" t="s">
        <v>931</v>
      </c>
      <c r="C308" s="20">
        <v>301</v>
      </c>
      <c r="D308" s="21" t="s">
        <v>309</v>
      </c>
      <c r="E308" s="21" t="s">
        <v>310</v>
      </c>
      <c r="F308" s="21"/>
      <c r="G308" s="21"/>
      <c r="H308" s="21"/>
      <c r="I308" s="21" t="s">
        <v>16</v>
      </c>
      <c r="J308" s="22">
        <v>1.31</v>
      </c>
      <c r="K308" s="23"/>
    </row>
    <row r="309" spans="1:11" x14ac:dyDescent="0.2">
      <c r="A309" s="8"/>
      <c r="B309" s="19" t="s">
        <v>931</v>
      </c>
      <c r="C309" s="20">
        <v>302</v>
      </c>
      <c r="D309" s="21" t="s">
        <v>311</v>
      </c>
      <c r="E309" s="21" t="s">
        <v>312</v>
      </c>
      <c r="F309" s="21"/>
      <c r="G309" s="21"/>
      <c r="H309" s="21"/>
      <c r="I309" s="21"/>
      <c r="J309" s="22">
        <v>11.82</v>
      </c>
      <c r="K309" s="23"/>
    </row>
    <row r="310" spans="1:11" x14ac:dyDescent="0.2">
      <c r="A310" s="8"/>
      <c r="B310" s="19" t="s">
        <v>931</v>
      </c>
      <c r="C310" s="20">
        <v>303</v>
      </c>
      <c r="D310" s="21" t="s">
        <v>313</v>
      </c>
      <c r="E310" s="21"/>
      <c r="F310" s="21"/>
      <c r="G310" s="21"/>
      <c r="H310" s="21"/>
      <c r="I310" s="21"/>
      <c r="J310" s="22">
        <v>1</v>
      </c>
      <c r="K310" s="23"/>
    </row>
    <row r="311" spans="1:11" x14ac:dyDescent="0.2">
      <c r="A311" s="8"/>
      <c r="B311" s="19" t="s">
        <v>931</v>
      </c>
      <c r="C311" s="20">
        <v>304</v>
      </c>
      <c r="D311" s="21"/>
      <c r="E311" s="21"/>
      <c r="F311" s="21"/>
      <c r="G311" s="21"/>
      <c r="H311" s="21"/>
      <c r="I311" s="21"/>
      <c r="J311" s="22"/>
      <c r="K311" s="23"/>
    </row>
    <row r="312" spans="1:11" x14ac:dyDescent="0.2">
      <c r="A312" s="8"/>
      <c r="B312" s="19" t="s">
        <v>931</v>
      </c>
      <c r="C312" s="20">
        <v>305</v>
      </c>
      <c r="D312" s="21" t="s">
        <v>410</v>
      </c>
      <c r="E312" s="21"/>
      <c r="F312" s="21"/>
      <c r="G312" s="21"/>
      <c r="H312" s="21"/>
      <c r="I312" s="21"/>
      <c r="J312" s="22">
        <v>700</v>
      </c>
      <c r="K312" s="23"/>
    </row>
    <row r="313" spans="1:11" x14ac:dyDescent="0.2">
      <c r="A313" s="8"/>
      <c r="B313" s="19" t="s">
        <v>931</v>
      </c>
      <c r="C313" s="20">
        <v>306</v>
      </c>
      <c r="D313" s="21" t="s">
        <v>443</v>
      </c>
      <c r="E313" s="21"/>
      <c r="F313" s="21"/>
      <c r="G313" s="21"/>
      <c r="H313" s="21"/>
      <c r="I313" s="21"/>
      <c r="J313" s="22">
        <v>326</v>
      </c>
      <c r="K313" s="23"/>
    </row>
    <row r="314" spans="1:11" x14ac:dyDescent="0.2">
      <c r="A314" s="8"/>
      <c r="B314" s="19" t="s">
        <v>931</v>
      </c>
      <c r="C314" s="20">
        <v>307</v>
      </c>
      <c r="D314" s="21"/>
      <c r="E314" s="21"/>
      <c r="F314" s="21"/>
      <c r="G314" s="21"/>
      <c r="H314" s="21"/>
      <c r="I314" s="21"/>
      <c r="J314" s="22"/>
      <c r="K314" s="23"/>
    </row>
    <row r="315" spans="1:11" x14ac:dyDescent="0.2">
      <c r="A315" s="8"/>
      <c r="B315" s="19" t="s">
        <v>931</v>
      </c>
      <c r="C315" s="20">
        <v>308</v>
      </c>
      <c r="D315" s="21" t="s">
        <v>926</v>
      </c>
      <c r="E315" s="21"/>
      <c r="F315" s="21"/>
      <c r="G315" s="21"/>
      <c r="H315" s="21"/>
      <c r="I315" s="21"/>
      <c r="J315" s="22">
        <v>20</v>
      </c>
      <c r="K315" s="23"/>
    </row>
    <row r="316" spans="1:11" x14ac:dyDescent="0.2">
      <c r="A316" s="8"/>
      <c r="B316" s="19" t="s">
        <v>931</v>
      </c>
      <c r="C316" s="20">
        <v>309</v>
      </c>
      <c r="D316" s="21" t="s">
        <v>927</v>
      </c>
      <c r="E316" s="21"/>
      <c r="F316" s="21"/>
      <c r="G316" s="21"/>
      <c r="H316" s="21"/>
      <c r="I316" s="21"/>
      <c r="J316" s="22">
        <v>0.24</v>
      </c>
      <c r="K316" s="23" t="s">
        <v>489</v>
      </c>
    </row>
    <row r="317" spans="1:11" x14ac:dyDescent="0.2">
      <c r="A317" s="8"/>
      <c r="B317" s="19" t="s">
        <v>931</v>
      </c>
      <c r="C317" s="20">
        <v>310</v>
      </c>
      <c r="D317" s="21" t="s">
        <v>676</v>
      </c>
      <c r="E317" s="21"/>
      <c r="F317" s="21"/>
      <c r="G317" s="21"/>
      <c r="H317" s="21"/>
      <c r="I317" s="21"/>
      <c r="J317" s="187">
        <v>0.48</v>
      </c>
      <c r="K317" s="23"/>
    </row>
    <row r="318" spans="1:11" x14ac:dyDescent="0.2">
      <c r="A318" s="8"/>
      <c r="B318" s="19" t="s">
        <v>931</v>
      </c>
      <c r="C318" s="20">
        <v>311</v>
      </c>
      <c r="D318" s="21" t="s">
        <v>677</v>
      </c>
      <c r="E318" s="21"/>
      <c r="F318" s="21"/>
      <c r="G318" s="21"/>
      <c r="H318" s="21"/>
      <c r="I318" s="21"/>
      <c r="J318" s="187">
        <v>0.96</v>
      </c>
      <c r="K318" s="23"/>
    </row>
    <row r="319" spans="1:11" x14ac:dyDescent="0.2">
      <c r="A319" s="8"/>
      <c r="B319" s="19" t="s">
        <v>931</v>
      </c>
      <c r="C319" s="20">
        <v>312</v>
      </c>
      <c r="D319" s="21" t="s">
        <v>736</v>
      </c>
      <c r="E319" s="21"/>
      <c r="F319" s="21"/>
      <c r="G319" s="21"/>
      <c r="H319" s="21"/>
      <c r="I319" s="21"/>
      <c r="J319" s="22">
        <v>40</v>
      </c>
      <c r="K319" s="23"/>
    </row>
    <row r="320" spans="1:11" x14ac:dyDescent="0.2">
      <c r="A320" s="8"/>
      <c r="B320" s="19" t="s">
        <v>931</v>
      </c>
      <c r="C320" s="20">
        <v>313</v>
      </c>
      <c r="D320" s="21" t="s">
        <v>288</v>
      </c>
      <c r="E320" s="21"/>
      <c r="F320" s="21"/>
      <c r="G320" s="21"/>
      <c r="H320" s="21"/>
      <c r="I320" s="21"/>
      <c r="J320" s="22">
        <v>17</v>
      </c>
      <c r="K320" s="23"/>
    </row>
    <row r="321" spans="1:11" x14ac:dyDescent="0.2">
      <c r="A321" s="8"/>
      <c r="B321" s="19" t="s">
        <v>931</v>
      </c>
      <c r="C321" s="20">
        <v>314</v>
      </c>
      <c r="D321" s="21"/>
      <c r="E321" s="21"/>
      <c r="F321" s="21"/>
      <c r="G321" s="21"/>
      <c r="H321" s="21"/>
      <c r="I321" s="21"/>
      <c r="J321" s="22"/>
      <c r="K321" s="23"/>
    </row>
    <row r="322" spans="1:11" x14ac:dyDescent="0.2">
      <c r="A322" s="8"/>
      <c r="B322" s="19" t="s">
        <v>931</v>
      </c>
      <c r="C322" s="20">
        <v>315</v>
      </c>
      <c r="D322" s="21" t="s">
        <v>738</v>
      </c>
      <c r="E322" s="21"/>
      <c r="F322" s="21"/>
      <c r="G322" s="21"/>
      <c r="H322" s="21"/>
      <c r="I322" s="21"/>
      <c r="J322" s="22"/>
      <c r="K322" s="23"/>
    </row>
    <row r="323" spans="1:11" x14ac:dyDescent="0.2">
      <c r="A323" s="8"/>
      <c r="B323" s="19" t="s">
        <v>931</v>
      </c>
      <c r="C323" s="20">
        <v>316</v>
      </c>
      <c r="D323" s="21"/>
      <c r="E323" s="21"/>
      <c r="F323" s="21"/>
      <c r="G323" s="21"/>
      <c r="H323" s="21"/>
      <c r="I323" s="21"/>
      <c r="J323" s="22"/>
      <c r="K323" s="23"/>
    </row>
    <row r="324" spans="1:11" x14ac:dyDescent="0.2">
      <c r="A324" s="8"/>
      <c r="B324" s="19" t="s">
        <v>931</v>
      </c>
      <c r="C324" s="20">
        <v>317</v>
      </c>
      <c r="D324" s="21"/>
      <c r="E324" s="21"/>
      <c r="F324" s="21"/>
      <c r="G324" s="21"/>
      <c r="H324" s="21"/>
      <c r="I324" s="21"/>
      <c r="J324" s="22"/>
      <c r="K324" s="23"/>
    </row>
    <row r="325" spans="1:11" x14ac:dyDescent="0.2">
      <c r="A325" s="8"/>
      <c r="B325" s="19" t="s">
        <v>931</v>
      </c>
      <c r="C325" s="20">
        <v>318</v>
      </c>
      <c r="D325" s="21"/>
      <c r="E325" s="21"/>
      <c r="F325" s="21"/>
      <c r="G325" s="21"/>
      <c r="H325" s="21"/>
      <c r="I325" s="21"/>
      <c r="J325" s="22"/>
      <c r="K325" s="23"/>
    </row>
    <row r="326" spans="1:11" x14ac:dyDescent="0.2">
      <c r="A326" s="8"/>
      <c r="B326" s="19" t="s">
        <v>931</v>
      </c>
      <c r="C326" s="20">
        <v>319</v>
      </c>
      <c r="D326" s="21"/>
      <c r="E326" s="21"/>
      <c r="F326" s="21"/>
      <c r="G326" s="21"/>
      <c r="H326" s="21"/>
      <c r="I326" s="21"/>
      <c r="J326" s="22"/>
      <c r="K326" s="23"/>
    </row>
    <row r="327" spans="1:11" x14ac:dyDescent="0.2">
      <c r="A327" s="8"/>
      <c r="B327" s="19" t="s">
        <v>931</v>
      </c>
      <c r="C327" s="20">
        <v>320</v>
      </c>
      <c r="D327" s="21"/>
      <c r="E327" s="21"/>
      <c r="F327" s="21"/>
      <c r="G327" s="21"/>
      <c r="H327" s="21"/>
      <c r="I327" s="21"/>
      <c r="J327" s="22"/>
      <c r="K327" s="23"/>
    </row>
    <row r="328" spans="1:11" x14ac:dyDescent="0.2">
      <c r="A328" s="8"/>
      <c r="B328" s="19" t="s">
        <v>931</v>
      </c>
      <c r="C328" s="20">
        <v>321</v>
      </c>
      <c r="D328" s="21"/>
      <c r="E328" s="21"/>
      <c r="F328" s="21"/>
      <c r="G328" s="21"/>
      <c r="H328" s="21"/>
      <c r="I328" s="21"/>
      <c r="J328" s="22"/>
      <c r="K328" s="23"/>
    </row>
    <row r="329" spans="1:11" x14ac:dyDescent="0.2">
      <c r="A329" s="8"/>
      <c r="B329" s="19" t="s">
        <v>931</v>
      </c>
      <c r="C329" s="20">
        <v>322</v>
      </c>
      <c r="D329" s="21"/>
      <c r="E329" s="21"/>
      <c r="F329" s="21"/>
      <c r="G329" s="21"/>
      <c r="H329" s="21"/>
      <c r="I329" s="21"/>
      <c r="J329" s="22"/>
      <c r="K329" s="23"/>
    </row>
    <row r="330" spans="1:11" x14ac:dyDescent="0.2">
      <c r="A330" s="8"/>
      <c r="B330" s="19" t="s">
        <v>315</v>
      </c>
      <c r="C330" s="20">
        <v>323</v>
      </c>
      <c r="D330" s="21" t="s">
        <v>330</v>
      </c>
      <c r="E330" s="21" t="s">
        <v>331</v>
      </c>
      <c r="F330" s="21"/>
      <c r="G330" s="21"/>
      <c r="H330" s="21"/>
      <c r="I330" s="21" t="s">
        <v>49</v>
      </c>
      <c r="J330" s="22">
        <v>5.5</v>
      </c>
      <c r="K330" s="23"/>
    </row>
    <row r="331" spans="1:11" x14ac:dyDescent="0.2">
      <c r="A331" s="8"/>
      <c r="B331" s="19" t="s">
        <v>315</v>
      </c>
      <c r="C331" s="20">
        <v>324</v>
      </c>
      <c r="D331" s="21" t="s">
        <v>316</v>
      </c>
      <c r="E331" s="21" t="s">
        <v>317</v>
      </c>
      <c r="F331" s="21" t="s">
        <v>318</v>
      </c>
      <c r="G331" s="21"/>
      <c r="H331" s="21"/>
      <c r="I331" s="21" t="s">
        <v>49</v>
      </c>
      <c r="J331" s="22">
        <v>6.09</v>
      </c>
      <c r="K331" s="23"/>
    </row>
    <row r="332" spans="1:11" x14ac:dyDescent="0.2">
      <c r="A332" s="8"/>
      <c r="B332" s="19" t="s">
        <v>315</v>
      </c>
      <c r="C332" s="20">
        <v>325</v>
      </c>
      <c r="D332" s="21" t="s">
        <v>319</v>
      </c>
      <c r="E332" s="21" t="s">
        <v>320</v>
      </c>
      <c r="F332" s="21" t="s">
        <v>237</v>
      </c>
      <c r="G332" s="21"/>
      <c r="H332" s="21"/>
      <c r="I332" s="21" t="s">
        <v>49</v>
      </c>
      <c r="J332" s="22">
        <v>6.44</v>
      </c>
      <c r="K332" s="23"/>
    </row>
    <row r="333" spans="1:11" x14ac:dyDescent="0.2">
      <c r="A333" s="8"/>
      <c r="B333" s="19" t="s">
        <v>315</v>
      </c>
      <c r="C333" s="20">
        <v>326</v>
      </c>
      <c r="D333" s="21" t="s">
        <v>415</v>
      </c>
      <c r="E333" s="21"/>
      <c r="F333" s="21"/>
      <c r="G333" s="21"/>
      <c r="H333" s="21"/>
      <c r="I333" s="21"/>
      <c r="J333" s="22">
        <v>2.2200000000000002</v>
      </c>
      <c r="K333" s="23"/>
    </row>
    <row r="334" spans="1:11" x14ac:dyDescent="0.2">
      <c r="A334" s="8"/>
      <c r="B334" s="19" t="s">
        <v>315</v>
      </c>
      <c r="C334" s="20">
        <v>327</v>
      </c>
      <c r="D334" s="21" t="s">
        <v>321</v>
      </c>
      <c r="E334" s="21" t="s">
        <v>322</v>
      </c>
      <c r="F334" s="21" t="s">
        <v>323</v>
      </c>
      <c r="G334" s="21"/>
      <c r="H334" s="21"/>
      <c r="I334" s="21" t="s">
        <v>49</v>
      </c>
      <c r="J334" s="22">
        <v>5.1818</v>
      </c>
      <c r="K334" s="23"/>
    </row>
    <row r="335" spans="1:11" x14ac:dyDescent="0.2">
      <c r="A335" s="8"/>
      <c r="B335" s="19" t="s">
        <v>315</v>
      </c>
      <c r="C335" s="20">
        <v>328</v>
      </c>
      <c r="D335" s="21" t="s">
        <v>324</v>
      </c>
      <c r="E335" s="21" t="s">
        <v>325</v>
      </c>
      <c r="F335" s="21" t="s">
        <v>326</v>
      </c>
      <c r="G335" s="21"/>
      <c r="H335" s="21"/>
      <c r="I335" s="21" t="s">
        <v>49</v>
      </c>
      <c r="J335" s="22">
        <v>11.4</v>
      </c>
      <c r="K335" s="23"/>
    </row>
    <row r="336" spans="1:11" x14ac:dyDescent="0.2">
      <c r="A336" s="8"/>
      <c r="B336" s="19" t="s">
        <v>315</v>
      </c>
      <c r="C336" s="20">
        <v>329</v>
      </c>
      <c r="D336" s="21" t="s">
        <v>327</v>
      </c>
      <c r="E336" s="21" t="s">
        <v>328</v>
      </c>
      <c r="F336" s="21" t="s">
        <v>329</v>
      </c>
      <c r="G336" s="21"/>
      <c r="H336" s="21"/>
      <c r="I336" s="21" t="s">
        <v>49</v>
      </c>
      <c r="J336" s="22">
        <v>1.64</v>
      </c>
      <c r="K336" s="23"/>
    </row>
    <row r="337" spans="1:11" x14ac:dyDescent="0.2">
      <c r="A337" s="8"/>
      <c r="B337" s="19" t="s">
        <v>315</v>
      </c>
      <c r="C337" s="20">
        <v>330</v>
      </c>
      <c r="D337" s="21" t="s">
        <v>336</v>
      </c>
      <c r="E337" s="21"/>
      <c r="F337" s="21"/>
      <c r="G337" s="21"/>
      <c r="H337" s="21"/>
      <c r="I337" s="21" t="s">
        <v>49</v>
      </c>
      <c r="J337" s="22">
        <v>7.7</v>
      </c>
      <c r="K337" s="23"/>
    </row>
    <row r="338" spans="1:11" x14ac:dyDescent="0.2">
      <c r="A338" s="8"/>
      <c r="B338" s="19" t="s">
        <v>315</v>
      </c>
      <c r="C338" s="20">
        <v>331</v>
      </c>
      <c r="D338" s="21" t="s">
        <v>332</v>
      </c>
      <c r="E338" s="21" t="s">
        <v>317</v>
      </c>
      <c r="F338" s="21" t="s">
        <v>333</v>
      </c>
      <c r="G338" s="21"/>
      <c r="H338" s="21"/>
      <c r="I338" s="21" t="s">
        <v>49</v>
      </c>
      <c r="J338" s="22">
        <v>1.54</v>
      </c>
      <c r="K338" s="23"/>
    </row>
    <row r="339" spans="1:11" x14ac:dyDescent="0.2">
      <c r="A339" s="8"/>
      <c r="B339" s="19" t="s">
        <v>315</v>
      </c>
      <c r="C339" s="20">
        <v>332</v>
      </c>
      <c r="D339" s="21" t="s">
        <v>334</v>
      </c>
      <c r="E339" s="21" t="s">
        <v>317</v>
      </c>
      <c r="F339" s="21" t="s">
        <v>335</v>
      </c>
      <c r="G339" s="21"/>
      <c r="H339" s="21"/>
      <c r="I339" s="21" t="s">
        <v>49</v>
      </c>
      <c r="J339" s="22">
        <v>6.32</v>
      </c>
      <c r="K339" s="23"/>
    </row>
    <row r="340" spans="1:11" x14ac:dyDescent="0.2">
      <c r="A340" s="8"/>
      <c r="B340" s="19" t="s">
        <v>315</v>
      </c>
      <c r="C340" s="20">
        <v>333</v>
      </c>
      <c r="D340" s="21"/>
      <c r="E340" s="21"/>
      <c r="F340" s="21"/>
      <c r="G340" s="21"/>
      <c r="H340" s="21"/>
      <c r="I340" s="21" t="s">
        <v>49</v>
      </c>
      <c r="J340" s="22"/>
      <c r="K340" s="23"/>
    </row>
    <row r="341" spans="1:11" x14ac:dyDescent="0.2">
      <c r="A341" s="8"/>
      <c r="B341" s="19" t="s">
        <v>315</v>
      </c>
      <c r="C341" s="20">
        <v>334</v>
      </c>
      <c r="D341" s="21"/>
      <c r="E341" s="21"/>
      <c r="F341" s="21"/>
      <c r="G341" s="21"/>
      <c r="H341" s="21"/>
      <c r="I341" s="21" t="s">
        <v>49</v>
      </c>
      <c r="J341" s="22"/>
      <c r="K341" s="23"/>
    </row>
    <row r="342" spans="1:11" x14ac:dyDescent="0.2">
      <c r="A342" s="8"/>
      <c r="B342" s="19" t="s">
        <v>315</v>
      </c>
      <c r="C342" s="20">
        <v>335</v>
      </c>
      <c r="D342" s="21"/>
      <c r="E342" s="21"/>
      <c r="F342" s="21"/>
      <c r="G342" s="21"/>
      <c r="H342" s="21"/>
      <c r="I342" s="21" t="s">
        <v>49</v>
      </c>
      <c r="J342" s="22"/>
      <c r="K342" s="23"/>
    </row>
    <row r="343" spans="1:11" x14ac:dyDescent="0.2">
      <c r="A343" s="8"/>
      <c r="B343" s="19" t="s">
        <v>315</v>
      </c>
      <c r="C343" s="20">
        <v>336</v>
      </c>
      <c r="D343" s="21"/>
      <c r="E343" s="21"/>
      <c r="F343" s="21"/>
      <c r="G343" s="21"/>
      <c r="H343" s="21"/>
      <c r="I343" s="21" t="s">
        <v>49</v>
      </c>
      <c r="J343" s="22"/>
      <c r="K343" s="23"/>
    </row>
    <row r="344" spans="1:11" x14ac:dyDescent="0.2">
      <c r="A344" s="8"/>
      <c r="B344" s="19" t="s">
        <v>315</v>
      </c>
      <c r="C344" s="20">
        <v>337</v>
      </c>
      <c r="D344" s="21"/>
      <c r="E344" s="21"/>
      <c r="F344" s="21"/>
      <c r="G344" s="21"/>
      <c r="H344" s="21"/>
      <c r="I344" s="21" t="s">
        <v>49</v>
      </c>
      <c r="J344" s="22"/>
      <c r="K344" s="23"/>
    </row>
    <row r="345" spans="1:11" x14ac:dyDescent="0.2">
      <c r="A345" s="8"/>
      <c r="B345" s="19" t="s">
        <v>315</v>
      </c>
      <c r="C345" s="20">
        <v>338</v>
      </c>
      <c r="D345" s="21"/>
      <c r="E345" s="21"/>
      <c r="F345" s="21"/>
      <c r="G345" s="21"/>
      <c r="H345" s="21"/>
      <c r="I345" s="21" t="s">
        <v>49</v>
      </c>
      <c r="J345" s="22"/>
      <c r="K345" s="23"/>
    </row>
    <row r="346" spans="1:11" x14ac:dyDescent="0.2">
      <c r="A346" s="8"/>
      <c r="B346" s="19" t="s">
        <v>315</v>
      </c>
      <c r="C346" s="20">
        <v>339</v>
      </c>
      <c r="D346" s="21"/>
      <c r="E346" s="21"/>
      <c r="F346" s="21"/>
      <c r="G346" s="21"/>
      <c r="H346" s="21"/>
      <c r="I346" s="21" t="s">
        <v>49</v>
      </c>
      <c r="J346" s="22"/>
      <c r="K346" s="23"/>
    </row>
    <row r="347" spans="1:11" x14ac:dyDescent="0.2">
      <c r="A347" s="8"/>
      <c r="B347" s="19" t="s">
        <v>315</v>
      </c>
      <c r="C347" s="20">
        <v>340</v>
      </c>
      <c r="D347" s="21"/>
      <c r="E347" s="21"/>
      <c r="F347" s="21"/>
      <c r="G347" s="21"/>
      <c r="H347" s="21"/>
      <c r="I347" s="21" t="s">
        <v>49</v>
      </c>
      <c r="J347" s="22"/>
      <c r="K347" s="23"/>
    </row>
    <row r="348" spans="1:11" x14ac:dyDescent="0.2">
      <c r="B348" s="19" t="s">
        <v>315</v>
      </c>
      <c r="C348" s="20">
        <v>341</v>
      </c>
      <c r="D348" s="21"/>
      <c r="E348" s="21"/>
      <c r="F348" s="21"/>
      <c r="G348" s="21"/>
      <c r="H348" s="21"/>
      <c r="I348" s="21"/>
      <c r="J348" s="22"/>
      <c r="K348" s="23"/>
    </row>
    <row r="349" spans="1:11" x14ac:dyDescent="0.2">
      <c r="B349" s="19" t="s">
        <v>315</v>
      </c>
      <c r="C349" s="20">
        <v>342</v>
      </c>
      <c r="D349" s="21"/>
      <c r="E349" s="21"/>
      <c r="F349" s="21"/>
      <c r="G349" s="21"/>
      <c r="H349" s="21"/>
      <c r="I349" s="21"/>
      <c r="J349" s="22"/>
      <c r="K349" s="23"/>
    </row>
    <row r="350" spans="1:11" x14ac:dyDescent="0.2">
      <c r="B350" s="19" t="s">
        <v>315</v>
      </c>
      <c r="C350" s="20">
        <v>343</v>
      </c>
      <c r="D350" s="21"/>
      <c r="E350" s="21"/>
      <c r="F350" s="21"/>
      <c r="G350" s="21"/>
      <c r="H350" s="21"/>
      <c r="I350" s="21"/>
      <c r="J350" s="22"/>
      <c r="K350" s="23"/>
    </row>
    <row r="351" spans="1:11" x14ac:dyDescent="0.2">
      <c r="B351" s="19" t="s">
        <v>620</v>
      </c>
      <c r="C351" s="20">
        <v>344</v>
      </c>
      <c r="D351" s="20" t="str">
        <f>Machines!C48</f>
        <v>Linkage spray rig</v>
      </c>
      <c r="J351" s="157">
        <f>Machines!C75+Machines!C76</f>
        <v>3.3779411764705882</v>
      </c>
    </row>
    <row r="352" spans="1:11" x14ac:dyDescent="0.2">
      <c r="B352" s="19" t="s">
        <v>620</v>
      </c>
      <c r="C352" s="20">
        <v>345</v>
      </c>
      <c r="D352" s="20" t="str">
        <f>Machines!D48</f>
        <v>No till seeder</v>
      </c>
      <c r="J352" s="157">
        <f>Machines!D75+Machines!D76</f>
        <v>12.3</v>
      </c>
    </row>
    <row r="353" spans="2:10" x14ac:dyDescent="0.2">
      <c r="B353" s="19" t="s">
        <v>620</v>
      </c>
      <c r="C353" s="20">
        <v>346</v>
      </c>
      <c r="D353" s="20" t="str">
        <f>Machines!E48</f>
        <v>Tyne cultivator</v>
      </c>
      <c r="J353" s="157">
        <f>Machines!E75+Machines!E76</f>
        <v>16.225000000000001</v>
      </c>
    </row>
    <row r="354" spans="2:10" x14ac:dyDescent="0.2">
      <c r="B354" s="19" t="s">
        <v>620</v>
      </c>
      <c r="C354" s="20">
        <v>347</v>
      </c>
      <c r="D354" s="20" t="str">
        <f>Machines!F48</f>
        <v>Chisel plough</v>
      </c>
      <c r="J354" s="157">
        <f>Machines!F75+Machines!F76</f>
        <v>30.257142857142856</v>
      </c>
    </row>
    <row r="355" spans="2:10" x14ac:dyDescent="0.2">
      <c r="B355" s="19" t="s">
        <v>620</v>
      </c>
      <c r="C355" s="20">
        <v>348</v>
      </c>
      <c r="D355" s="20">
        <f>Machines!G48</f>
        <v>0</v>
      </c>
      <c r="J355" s="157" t="e">
        <f>Machines!G75+Machines!G76</f>
        <v>#DIV/0!</v>
      </c>
    </row>
    <row r="356" spans="2:10" x14ac:dyDescent="0.2">
      <c r="B356" s="19" t="s">
        <v>620</v>
      </c>
      <c r="C356" s="20">
        <v>349</v>
      </c>
      <c r="D356" s="20" t="str">
        <f>Machines!H48</f>
        <v>Leucaena planter</v>
      </c>
      <c r="J356" s="157">
        <f>Machines!H75+Machines!H76</f>
        <v>9.6454545454545446</v>
      </c>
    </row>
    <row r="357" spans="2:10" x14ac:dyDescent="0.2">
      <c r="B357" s="19" t="s">
        <v>620</v>
      </c>
      <c r="C357" s="20">
        <v>350</v>
      </c>
      <c r="D357" s="20" t="str">
        <f>Machines!I48</f>
        <v>Grass planter</v>
      </c>
      <c r="J357" s="157">
        <f>Machines!I75+Machines!I76</f>
        <v>5.3049999999999997</v>
      </c>
    </row>
    <row r="358" spans="2:10" x14ac:dyDescent="0.2">
      <c r="B358" s="19" t="s">
        <v>620</v>
      </c>
      <c r="C358" s="20">
        <v>351</v>
      </c>
      <c r="D358" s="20" t="str">
        <f>Machines!J48</f>
        <v>12m Gyral planter</v>
      </c>
      <c r="J358" s="157">
        <f>Machines!J75+Machines!J76</f>
        <v>11.775</v>
      </c>
    </row>
    <row r="359" spans="2:10" x14ac:dyDescent="0.2">
      <c r="B359" s="19" t="s">
        <v>620</v>
      </c>
      <c r="C359" s="20">
        <v>352</v>
      </c>
      <c r="D359" s="20" t="str">
        <f>Machines!K48</f>
        <v>12 m  chisel</v>
      </c>
      <c r="J359" s="157">
        <f>Machines!K75+Machines!K76</f>
        <v>10.9625</v>
      </c>
    </row>
    <row r="360" spans="2:10" x14ac:dyDescent="0.2">
      <c r="B360" s="19" t="s">
        <v>620</v>
      </c>
      <c r="C360" s="20">
        <v>353</v>
      </c>
      <c r="D360" s="20" t="str">
        <f>Machines!L48</f>
        <v>Spray Rig</v>
      </c>
      <c r="J360" s="157">
        <f>Machines!L75+Machines!L76</f>
        <v>2.56</v>
      </c>
    </row>
    <row r="361" spans="2:10" x14ac:dyDescent="0.2">
      <c r="B361" s="19" t="s">
        <v>620</v>
      </c>
      <c r="C361" s="20">
        <v>354</v>
      </c>
      <c r="D361" s="20">
        <f>Machines!M48</f>
        <v>0</v>
      </c>
      <c r="J361" s="157" t="e">
        <f>Machines!M75+Machines!M76</f>
        <v>#DIV/0!</v>
      </c>
    </row>
    <row r="362" spans="2:10" x14ac:dyDescent="0.2">
      <c r="B362" s="19" t="s">
        <v>620</v>
      </c>
      <c r="C362" s="20">
        <v>355</v>
      </c>
      <c r="D362" s="20">
        <f>Machines!N48</f>
        <v>0</v>
      </c>
      <c r="J362" s="157" t="e">
        <f>Machines!N75+Machines!N76</f>
        <v>#DIV/0!</v>
      </c>
    </row>
    <row r="363" spans="2:10" x14ac:dyDescent="0.2">
      <c r="B363" s="19" t="s">
        <v>620</v>
      </c>
      <c r="C363" s="20">
        <v>356</v>
      </c>
      <c r="D363" s="20">
        <f>Machines!O48</f>
        <v>0</v>
      </c>
      <c r="J363" s="157" t="e">
        <f>Machines!O75+Machines!O76</f>
        <v>#DIV/0!</v>
      </c>
    </row>
    <row r="364" spans="2:10" x14ac:dyDescent="0.2">
      <c r="B364" s="19" t="s">
        <v>620</v>
      </c>
      <c r="C364" s="20">
        <v>357</v>
      </c>
      <c r="D364" s="20">
        <f>Machines!P48</f>
        <v>0</v>
      </c>
      <c r="J364" s="157" t="e">
        <f>Machines!P75+Machines!P76</f>
        <v>#DIV/0!</v>
      </c>
    </row>
    <row r="365" spans="2:10" x14ac:dyDescent="0.2">
      <c r="B365" s="19" t="s">
        <v>620</v>
      </c>
      <c r="C365" s="20">
        <v>358</v>
      </c>
      <c r="D365" s="20">
        <f>Machines!Q48</f>
        <v>0</v>
      </c>
      <c r="J365" s="157" t="e">
        <f>Machines!Q75+Machines!Q76</f>
        <v>#DIV/0!</v>
      </c>
    </row>
    <row r="366" spans="2:10" x14ac:dyDescent="0.2">
      <c r="B366" s="19" t="s">
        <v>621</v>
      </c>
      <c r="C366" s="20">
        <v>359</v>
      </c>
      <c r="D366" s="20" t="str">
        <f>D351</f>
        <v>Linkage spray rig</v>
      </c>
      <c r="J366" s="157">
        <f>Machines!C87</f>
        <v>8.01</v>
      </c>
    </row>
    <row r="367" spans="2:10" x14ac:dyDescent="0.2">
      <c r="B367" s="19" t="s">
        <v>621</v>
      </c>
      <c r="C367" s="20">
        <v>360</v>
      </c>
      <c r="D367" s="20" t="str">
        <f t="shared" ref="D367:D380" si="1">D352</f>
        <v>No till seeder</v>
      </c>
      <c r="J367" s="157">
        <f>Machines!D87</f>
        <v>32.082500000000003</v>
      </c>
    </row>
    <row r="368" spans="2:10" x14ac:dyDescent="0.2">
      <c r="B368" s="19" t="s">
        <v>621</v>
      </c>
      <c r="C368" s="20">
        <v>361</v>
      </c>
      <c r="D368" s="20" t="str">
        <f t="shared" si="1"/>
        <v>Tyne cultivator</v>
      </c>
      <c r="J368" s="157">
        <f>Machines!E87</f>
        <v>35.095000000000006</v>
      </c>
    </row>
    <row r="369" spans="2:10" x14ac:dyDescent="0.2">
      <c r="B369" s="19" t="s">
        <v>621</v>
      </c>
      <c r="C369" s="20">
        <v>362</v>
      </c>
      <c r="D369" s="20" t="str">
        <f t="shared" si="1"/>
        <v>Chisel plough</v>
      </c>
      <c r="J369" s="157">
        <f>Machines!F87</f>
        <v>56.462857142857146</v>
      </c>
    </row>
    <row r="370" spans="2:10" x14ac:dyDescent="0.2">
      <c r="B370" s="19" t="s">
        <v>621</v>
      </c>
      <c r="C370" s="20">
        <v>363</v>
      </c>
      <c r="D370" s="20">
        <f t="shared" si="1"/>
        <v>0</v>
      </c>
      <c r="J370" s="157" t="e">
        <f>Machines!G87</f>
        <v>#DIV/0!</v>
      </c>
    </row>
    <row r="371" spans="2:10" x14ac:dyDescent="0.2">
      <c r="B371" s="19" t="s">
        <v>621</v>
      </c>
      <c r="C371" s="20">
        <v>364</v>
      </c>
      <c r="D371" s="20" t="str">
        <f t="shared" si="1"/>
        <v>Leucaena planter</v>
      </c>
      <c r="J371" s="157">
        <f>Machines!H87</f>
        <v>20.176363636363636</v>
      </c>
    </row>
    <row r="372" spans="2:10" x14ac:dyDescent="0.2">
      <c r="B372" s="19" t="s">
        <v>621</v>
      </c>
      <c r="C372" s="20">
        <v>365</v>
      </c>
      <c r="D372" s="20" t="str">
        <f t="shared" si="1"/>
        <v>Grass planter</v>
      </c>
      <c r="J372" s="157">
        <f>Machines!I87</f>
        <v>11.097</v>
      </c>
    </row>
    <row r="373" spans="2:10" x14ac:dyDescent="0.2">
      <c r="B373" s="19" t="s">
        <v>621</v>
      </c>
      <c r="C373" s="20">
        <v>366</v>
      </c>
      <c r="D373" s="20" t="str">
        <f t="shared" si="1"/>
        <v>12m Gyral planter</v>
      </c>
      <c r="J373" s="157">
        <f>Machines!J87</f>
        <v>28.796250000000001</v>
      </c>
    </row>
    <row r="374" spans="2:10" x14ac:dyDescent="0.2">
      <c r="B374" s="19" t="s">
        <v>621</v>
      </c>
      <c r="C374" s="20">
        <v>367</v>
      </c>
      <c r="D374" s="20" t="str">
        <f t="shared" si="1"/>
        <v>12 m  chisel</v>
      </c>
      <c r="J374" s="157">
        <f>Machines!K87</f>
        <v>22.919999999999998</v>
      </c>
    </row>
    <row r="375" spans="2:10" x14ac:dyDescent="0.2">
      <c r="B375" s="19" t="s">
        <v>621</v>
      </c>
      <c r="C375" s="20">
        <v>368</v>
      </c>
      <c r="D375" s="20" t="str">
        <f t="shared" si="1"/>
        <v>Spray Rig</v>
      </c>
      <c r="J375" s="157">
        <f>Machines!L87</f>
        <v>6.3689999999999989</v>
      </c>
    </row>
    <row r="376" spans="2:10" x14ac:dyDescent="0.2">
      <c r="B376" s="19" t="s">
        <v>621</v>
      </c>
      <c r="C376" s="20">
        <v>369</v>
      </c>
      <c r="D376" s="20">
        <f t="shared" si="1"/>
        <v>0</v>
      </c>
      <c r="J376" s="157" t="e">
        <f>Machines!M87</f>
        <v>#DIV/0!</v>
      </c>
    </row>
    <row r="377" spans="2:10" x14ac:dyDescent="0.2">
      <c r="B377" s="19" t="s">
        <v>621</v>
      </c>
      <c r="C377" s="20">
        <v>370</v>
      </c>
      <c r="D377" s="20">
        <f t="shared" si="1"/>
        <v>0</v>
      </c>
      <c r="J377" s="157" t="e">
        <f>Machines!N87</f>
        <v>#DIV/0!</v>
      </c>
    </row>
    <row r="378" spans="2:10" x14ac:dyDescent="0.2">
      <c r="B378" s="19" t="s">
        <v>621</v>
      </c>
      <c r="C378" s="20">
        <v>371</v>
      </c>
      <c r="D378" s="20">
        <f t="shared" si="1"/>
        <v>0</v>
      </c>
      <c r="J378" s="157" t="e">
        <f>Machines!O87</f>
        <v>#DIV/0!</v>
      </c>
    </row>
    <row r="379" spans="2:10" x14ac:dyDescent="0.2">
      <c r="B379" s="19" t="s">
        <v>621</v>
      </c>
      <c r="C379" s="20">
        <v>372</v>
      </c>
      <c r="D379" s="20">
        <f t="shared" si="1"/>
        <v>0</v>
      </c>
      <c r="J379" s="157" t="e">
        <f>Machines!P87</f>
        <v>#DIV/0!</v>
      </c>
    </row>
    <row r="380" spans="2:10" x14ac:dyDescent="0.2">
      <c r="B380" s="19" t="s">
        <v>621</v>
      </c>
      <c r="C380" s="20">
        <v>373</v>
      </c>
      <c r="D380" s="20">
        <f t="shared" si="1"/>
        <v>0</v>
      </c>
      <c r="J380" s="157" t="e">
        <f>Machines!Q87</f>
        <v>#DIV/0!</v>
      </c>
    </row>
    <row r="381" spans="2:10" x14ac:dyDescent="0.2">
      <c r="B381" s="19"/>
      <c r="C381" s="20">
        <v>374</v>
      </c>
      <c r="D381" s="21"/>
      <c r="E381" s="21"/>
      <c r="F381" s="21"/>
      <c r="G381" s="21"/>
      <c r="H381" s="21"/>
      <c r="I381" s="21"/>
      <c r="J381" s="22"/>
    </row>
    <row r="382" spans="2:10" x14ac:dyDescent="0.2">
      <c r="B382" s="19"/>
      <c r="C382" s="20">
        <v>375</v>
      </c>
      <c r="D382" s="21"/>
      <c r="E382" s="21"/>
      <c r="F382" s="21"/>
      <c r="G382" s="21"/>
      <c r="H382" s="21"/>
      <c r="I382" s="21"/>
      <c r="J382" s="22"/>
    </row>
    <row r="383" spans="2:10" x14ac:dyDescent="0.2">
      <c r="B383" s="19"/>
      <c r="C383" s="20">
        <v>376</v>
      </c>
      <c r="D383" s="21"/>
      <c r="E383" s="21"/>
      <c r="F383" s="21"/>
      <c r="G383" s="21"/>
      <c r="H383" s="21"/>
      <c r="I383" s="21"/>
      <c r="J383" s="22"/>
    </row>
    <row r="384" spans="2:10" x14ac:dyDescent="0.2">
      <c r="B384" s="19"/>
      <c r="C384" s="20">
        <v>377</v>
      </c>
      <c r="D384" s="21"/>
      <c r="E384" s="21"/>
      <c r="F384" s="21"/>
      <c r="G384" s="21"/>
      <c r="H384" s="21"/>
      <c r="I384" s="21"/>
      <c r="J384" s="22"/>
    </row>
    <row r="385" spans="2:10" x14ac:dyDescent="0.2">
      <c r="B385" s="19"/>
      <c r="C385" s="20">
        <v>378</v>
      </c>
      <c r="D385" s="21"/>
      <c r="E385" s="21"/>
      <c r="F385" s="21"/>
      <c r="G385" s="21"/>
      <c r="H385" s="21"/>
      <c r="I385" s="21"/>
      <c r="J385" s="22"/>
    </row>
    <row r="386" spans="2:10" x14ac:dyDescent="0.2">
      <c r="B386" s="19"/>
      <c r="C386" s="20">
        <v>379</v>
      </c>
      <c r="D386" s="21"/>
      <c r="E386" s="21"/>
      <c r="F386" s="21"/>
      <c r="G386" s="21"/>
      <c r="H386" s="21"/>
      <c r="I386" s="21"/>
      <c r="J386" s="22"/>
    </row>
    <row r="387" spans="2:10" x14ac:dyDescent="0.2">
      <c r="B387" s="19"/>
      <c r="C387" s="20">
        <v>380</v>
      </c>
      <c r="D387" s="21"/>
      <c r="E387" s="21"/>
      <c r="F387" s="21"/>
      <c r="G387" s="21"/>
      <c r="H387" s="21"/>
      <c r="I387" s="21"/>
      <c r="J387" s="22"/>
    </row>
    <row r="388" spans="2:10" x14ac:dyDescent="0.2">
      <c r="B388" s="19"/>
      <c r="C388" s="20">
        <v>381</v>
      </c>
      <c r="D388" s="21"/>
      <c r="E388" s="21"/>
      <c r="F388" s="21"/>
      <c r="G388" s="21"/>
      <c r="H388" s="21"/>
      <c r="I388" s="21"/>
      <c r="J388" s="22"/>
    </row>
    <row r="389" spans="2:10" x14ac:dyDescent="0.2">
      <c r="B389" s="19"/>
      <c r="C389" s="20">
        <v>382</v>
      </c>
      <c r="D389" s="21"/>
      <c r="E389" s="21"/>
      <c r="F389" s="21"/>
      <c r="G389" s="21"/>
      <c r="H389" s="21"/>
      <c r="I389" s="21"/>
      <c r="J389" s="22"/>
    </row>
    <row r="390" spans="2:10" x14ac:dyDescent="0.2">
      <c r="B390" s="19"/>
      <c r="C390" s="20">
        <v>383</v>
      </c>
      <c r="D390" s="21"/>
      <c r="E390" s="21"/>
      <c r="F390" s="21"/>
      <c r="G390" s="21"/>
      <c r="H390" s="21"/>
      <c r="I390" s="21"/>
      <c r="J390" s="22"/>
    </row>
    <row r="391" spans="2:10" x14ac:dyDescent="0.2">
      <c r="B391" s="19"/>
      <c r="C391" s="20">
        <v>384</v>
      </c>
      <c r="D391" s="21"/>
      <c r="E391" s="21"/>
      <c r="F391" s="21"/>
      <c r="G391" s="21"/>
      <c r="H391" s="21"/>
      <c r="I391" s="21"/>
      <c r="J391" s="22"/>
    </row>
    <row r="392" spans="2:10" x14ac:dyDescent="0.2">
      <c r="B392" s="19"/>
      <c r="C392" s="20">
        <v>385</v>
      </c>
      <c r="D392" s="21"/>
      <c r="E392" s="21"/>
      <c r="F392" s="21"/>
      <c r="G392" s="21"/>
      <c r="H392" s="21"/>
      <c r="I392" s="21"/>
      <c r="J392" s="22"/>
    </row>
    <row r="393" spans="2:10" x14ac:dyDescent="0.2">
      <c r="B393" s="19"/>
      <c r="C393" s="20">
        <v>386</v>
      </c>
      <c r="D393" s="21"/>
      <c r="E393" s="21"/>
      <c r="F393" s="21"/>
      <c r="G393" s="21"/>
      <c r="H393" s="21"/>
      <c r="I393" s="21"/>
      <c r="J393" s="22"/>
    </row>
    <row r="394" spans="2:10" x14ac:dyDescent="0.2">
      <c r="B394" s="19"/>
      <c r="C394" s="20">
        <v>387</v>
      </c>
      <c r="D394" s="21"/>
      <c r="E394" s="21"/>
      <c r="F394" s="21"/>
      <c r="G394" s="21"/>
      <c r="H394" s="21"/>
      <c r="I394" s="21"/>
      <c r="J394" s="22"/>
    </row>
    <row r="395" spans="2:10" x14ac:dyDescent="0.2">
      <c r="B395" s="19"/>
      <c r="C395" s="20">
        <v>388</v>
      </c>
      <c r="D395" s="21"/>
      <c r="E395" s="21"/>
      <c r="F395" s="21"/>
      <c r="G395" s="21"/>
      <c r="H395" s="21"/>
      <c r="I395" s="21"/>
      <c r="J395" s="22"/>
    </row>
    <row r="396" spans="2:10" x14ac:dyDescent="0.2">
      <c r="B396" s="19"/>
      <c r="C396" s="20">
        <v>389</v>
      </c>
      <c r="D396" s="21"/>
      <c r="E396" s="21"/>
      <c r="F396" s="21"/>
      <c r="G396" s="21"/>
      <c r="H396" s="21"/>
      <c r="I396" s="21"/>
      <c r="J396" s="22"/>
    </row>
    <row r="397" spans="2:10" x14ac:dyDescent="0.2">
      <c r="B397" s="19"/>
      <c r="C397" s="20">
        <v>390</v>
      </c>
      <c r="D397" s="21"/>
      <c r="E397" s="21"/>
      <c r="F397" s="21"/>
      <c r="G397" s="21"/>
      <c r="H397" s="21"/>
      <c r="I397" s="21"/>
      <c r="J397" s="22"/>
    </row>
    <row r="398" spans="2:10" x14ac:dyDescent="0.2">
      <c r="B398" s="19"/>
      <c r="C398" s="20">
        <v>391</v>
      </c>
      <c r="D398" s="21"/>
      <c r="E398" s="21"/>
      <c r="F398" s="21"/>
      <c r="G398" s="21"/>
      <c r="H398" s="21"/>
      <c r="I398" s="21"/>
      <c r="J398" s="22"/>
    </row>
    <row r="399" spans="2:10" x14ac:dyDescent="0.2">
      <c r="B399" s="19"/>
      <c r="C399" s="20">
        <v>392</v>
      </c>
      <c r="D399" s="21"/>
      <c r="E399" s="21"/>
      <c r="F399" s="21"/>
      <c r="G399" s="21"/>
      <c r="H399" s="21"/>
      <c r="I399" s="21"/>
      <c r="J399" s="22"/>
    </row>
    <row r="400" spans="2:10" x14ac:dyDescent="0.2">
      <c r="B400" s="19"/>
      <c r="C400" s="20">
        <v>393</v>
      </c>
      <c r="D400" s="21"/>
      <c r="E400" s="21"/>
      <c r="F400" s="21"/>
      <c r="G400" s="21"/>
      <c r="H400" s="21"/>
      <c r="I400" s="21"/>
      <c r="J400" s="22"/>
    </row>
    <row r="401" spans="2:10" x14ac:dyDescent="0.2">
      <c r="B401" s="19"/>
      <c r="C401" s="20">
        <v>394</v>
      </c>
      <c r="D401" s="21"/>
      <c r="E401" s="21"/>
      <c r="F401" s="21"/>
      <c r="G401" s="21"/>
      <c r="H401" s="21"/>
      <c r="I401" s="21"/>
      <c r="J401" s="22"/>
    </row>
    <row r="402" spans="2:10" x14ac:dyDescent="0.2">
      <c r="B402" s="19"/>
      <c r="C402" s="20">
        <v>395</v>
      </c>
      <c r="D402" s="21"/>
      <c r="E402" s="21"/>
      <c r="F402" s="21"/>
      <c r="G402" s="21"/>
      <c r="H402" s="21"/>
      <c r="I402" s="21"/>
      <c r="J402" s="22"/>
    </row>
    <row r="403" spans="2:10" x14ac:dyDescent="0.2">
      <c r="B403" s="19"/>
      <c r="C403" s="20">
        <v>396</v>
      </c>
      <c r="D403" s="21"/>
      <c r="E403" s="21"/>
      <c r="F403" s="21"/>
      <c r="G403" s="21"/>
      <c r="H403" s="21"/>
      <c r="I403" s="21"/>
      <c r="J403" s="22"/>
    </row>
    <row r="404" spans="2:10" x14ac:dyDescent="0.2">
      <c r="B404" s="19"/>
      <c r="C404" s="20">
        <v>397</v>
      </c>
      <c r="D404" s="21"/>
      <c r="E404" s="21"/>
      <c r="F404" s="21"/>
      <c r="G404" s="21"/>
      <c r="H404" s="21"/>
      <c r="I404" s="21"/>
      <c r="J404" s="22"/>
    </row>
    <row r="405" spans="2:10" x14ac:dyDescent="0.2">
      <c r="B405" s="19"/>
      <c r="C405" s="20">
        <v>398</v>
      </c>
      <c r="D405" s="21"/>
      <c r="E405" s="21"/>
      <c r="F405" s="21"/>
      <c r="G405" s="21"/>
      <c r="H405" s="21"/>
      <c r="I405" s="21"/>
      <c r="J405" s="22"/>
    </row>
    <row r="406" spans="2:10" x14ac:dyDescent="0.2">
      <c r="B406" s="19"/>
      <c r="C406" s="20">
        <v>399</v>
      </c>
      <c r="D406" s="21"/>
      <c r="E406" s="21"/>
      <c r="F406" s="21"/>
      <c r="G406" s="21"/>
      <c r="H406" s="21"/>
      <c r="I406" s="21"/>
      <c r="J406" s="22"/>
    </row>
    <row r="407" spans="2:10" x14ac:dyDescent="0.2">
      <c r="B407" s="19"/>
      <c r="C407" s="20">
        <v>400</v>
      </c>
      <c r="D407" s="21"/>
      <c r="E407" s="21"/>
      <c r="F407" s="21"/>
      <c r="G407" s="21"/>
      <c r="H407" s="21"/>
      <c r="I407" s="21"/>
      <c r="J407" s="22"/>
    </row>
  </sheetData>
  <phoneticPr fontId="0" type="noConversion"/>
  <printOptions gridLines="1"/>
  <pageMargins left="0.74803149606299213" right="0.74803149606299213" top="0.98425196850393704" bottom="0.98425196850393704" header="0.51181102362204722" footer="0.51181102362204722"/>
  <pageSetup paperSize="9" scale="27" fitToHeight="2" orientation="portrait" r:id="rId1"/>
  <headerFooter alignWithMargins="0">
    <oddHeader>&amp;A</oddHeader>
    <oddFooter>Page &amp;P</oddFooter>
  </headerFooter>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pageSetUpPr fitToPage="1"/>
  </sheetPr>
  <dimension ref="B2:O61"/>
  <sheetViews>
    <sheetView showGridLines="0" tabSelected="1" zoomScale="65" workbookViewId="0"/>
  </sheetViews>
  <sheetFormatPr defaultColWidth="15.33203125" defaultRowHeight="15" x14ac:dyDescent="0.2"/>
  <cols>
    <col min="1" max="1" width="8.77734375" customWidth="1"/>
    <col min="2" max="2" width="19" bestFit="1" customWidth="1"/>
    <col min="3" max="3" width="19.6640625" customWidth="1"/>
    <col min="4" max="4" width="26.21875" style="60" bestFit="1" customWidth="1"/>
    <col min="5" max="7" width="20.44140625" style="60" bestFit="1" customWidth="1"/>
    <col min="8" max="13" width="18.77734375" style="60" customWidth="1"/>
    <col min="14" max="14" width="18.77734375" customWidth="1"/>
  </cols>
  <sheetData>
    <row r="2" spans="2:14" ht="18" x14ac:dyDescent="0.25">
      <c r="B2" s="190" t="s">
        <v>643</v>
      </c>
    </row>
    <row r="4" spans="2:14" x14ac:dyDescent="0.2">
      <c r="C4" t="s">
        <v>922</v>
      </c>
    </row>
    <row r="5" spans="2:14" x14ac:dyDescent="0.2">
      <c r="C5" t="s">
        <v>923</v>
      </c>
    </row>
    <row r="6" spans="2:14" x14ac:dyDescent="0.2">
      <c r="C6" t="s">
        <v>751</v>
      </c>
    </row>
    <row r="7" spans="2:14" ht="15.75" x14ac:dyDescent="0.25">
      <c r="B7" s="13"/>
      <c r="C7" t="s">
        <v>913</v>
      </c>
    </row>
    <row r="8" spans="2:14" ht="15.75" x14ac:dyDescent="0.25">
      <c r="B8" s="13"/>
    </row>
    <row r="9" spans="2:14" ht="15.75" x14ac:dyDescent="0.25">
      <c r="B9" s="191" t="s">
        <v>253</v>
      </c>
      <c r="C9" s="191"/>
      <c r="D9" s="191"/>
    </row>
    <row r="10" spans="2:14" ht="15.75" x14ac:dyDescent="0.25">
      <c r="B10" s="13" t="s">
        <v>924</v>
      </c>
    </row>
    <row r="11" spans="2:14" x14ac:dyDescent="0.2">
      <c r="B11" s="3"/>
    </row>
    <row r="12" spans="2:14" x14ac:dyDescent="0.2">
      <c r="B12" s="3"/>
      <c r="D12" s="62" t="s">
        <v>425</v>
      </c>
      <c r="E12" s="62" t="s">
        <v>426</v>
      </c>
      <c r="F12" s="62" t="s">
        <v>427</v>
      </c>
      <c r="G12" s="62" t="s">
        <v>428</v>
      </c>
      <c r="H12" s="62" t="s">
        <v>429</v>
      </c>
      <c r="I12" s="62" t="s">
        <v>430</v>
      </c>
      <c r="J12" s="62" t="s">
        <v>431</v>
      </c>
      <c r="K12" s="62" t="s">
        <v>432</v>
      </c>
      <c r="L12" s="62" t="s">
        <v>433</v>
      </c>
      <c r="M12" s="62" t="s">
        <v>434</v>
      </c>
      <c r="N12" s="62" t="s">
        <v>251</v>
      </c>
    </row>
    <row r="13" spans="2:14" x14ac:dyDescent="0.2">
      <c r="D13" s="12"/>
      <c r="E13" s="12"/>
      <c r="F13" s="12"/>
      <c r="G13" s="12"/>
      <c r="H13" s="12"/>
      <c r="I13" s="12"/>
      <c r="J13" s="12"/>
      <c r="K13" s="12"/>
      <c r="L13" s="12"/>
      <c r="M13" s="12"/>
    </row>
    <row r="15" spans="2:14" ht="15.75" x14ac:dyDescent="0.25">
      <c r="C15" s="5" t="s">
        <v>435</v>
      </c>
      <c r="D15" s="123" t="s">
        <v>678</v>
      </c>
      <c r="E15" s="123" t="s">
        <v>680</v>
      </c>
      <c r="F15" s="123" t="s">
        <v>765</v>
      </c>
      <c r="G15" s="123" t="s">
        <v>764</v>
      </c>
      <c r="H15" s="123" t="s">
        <v>679</v>
      </c>
      <c r="I15" s="123" t="s">
        <v>762</v>
      </c>
      <c r="J15" s="123" t="s">
        <v>247</v>
      </c>
      <c r="K15" s="123" t="s">
        <v>248</v>
      </c>
      <c r="L15" s="123" t="s">
        <v>249</v>
      </c>
      <c r="M15" s="123" t="s">
        <v>250</v>
      </c>
      <c r="N15" s="123" t="s">
        <v>252</v>
      </c>
    </row>
    <row r="16" spans="2:14" x14ac:dyDescent="0.2">
      <c r="D16" s="60" t="s">
        <v>904</v>
      </c>
      <c r="E16" s="60" t="s">
        <v>904</v>
      </c>
      <c r="F16" s="60" t="s">
        <v>904</v>
      </c>
      <c r="G16" s="60" t="s">
        <v>904</v>
      </c>
      <c r="H16" s="60" t="s">
        <v>904</v>
      </c>
      <c r="I16" s="60" t="s">
        <v>904</v>
      </c>
      <c r="J16" s="60" t="s">
        <v>904</v>
      </c>
      <c r="K16" s="60" t="s">
        <v>904</v>
      </c>
      <c r="L16" s="60" t="s">
        <v>904</v>
      </c>
      <c r="M16" s="60" t="s">
        <v>904</v>
      </c>
      <c r="N16" s="60" t="s">
        <v>904</v>
      </c>
    </row>
    <row r="17" spans="2:14" ht="15.75" x14ac:dyDescent="0.25">
      <c r="B17" s="17"/>
      <c r="C17" s="17" t="str">
        <f>Buffel!B206</f>
        <v>Livestock Sales</v>
      </c>
      <c r="D17" s="63">
        <f>Buffel!J206</f>
        <v>115.32892800000002</v>
      </c>
      <c r="E17" s="63">
        <f>Leucaena!E155</f>
        <v>496.11993599999994</v>
      </c>
      <c r="F17" s="63">
        <f>'Butterfly pea'!E155</f>
        <v>707.75943434638975</v>
      </c>
      <c r="G17" s="63">
        <f>Lablab!E155</f>
        <v>1935.8842879999997</v>
      </c>
      <c r="H17" s="63">
        <f>'Forage sorghum'!E155</f>
        <v>2104.2611200000001</v>
      </c>
      <c r="I17" s="63">
        <f>Oats!E155</f>
        <v>1971.587072</v>
      </c>
      <c r="J17" s="63">
        <f>'GM7'!E155</f>
        <v>0</v>
      </c>
      <c r="K17" s="63">
        <f>'GM8'!E155</f>
        <v>0</v>
      </c>
      <c r="L17" s="63">
        <f>'GM9'!E155</f>
        <v>0</v>
      </c>
      <c r="M17" s="63">
        <f>'GM10'!E155</f>
        <v>0</v>
      </c>
      <c r="N17" s="63">
        <f>'GM11'!E155</f>
        <v>0</v>
      </c>
    </row>
    <row r="18" spans="2:14" ht="15.75" x14ac:dyDescent="0.25">
      <c r="C18" s="13" t="s">
        <v>756</v>
      </c>
      <c r="D18" s="63"/>
      <c r="E18" s="63"/>
      <c r="F18" s="63"/>
      <c r="G18" s="63"/>
      <c r="H18" s="63"/>
      <c r="I18" s="63"/>
      <c r="J18" s="63"/>
      <c r="K18" s="63"/>
      <c r="L18" s="63"/>
      <c r="M18" s="63"/>
      <c r="N18" s="63"/>
    </row>
    <row r="19" spans="2:14" x14ac:dyDescent="0.2">
      <c r="C19" s="60" t="str">
        <f>Buffel!B207</f>
        <v>Livestock Purchases</v>
      </c>
      <c r="D19" s="63">
        <f>Buffel!J207</f>
        <v>56.927399999999999</v>
      </c>
      <c r="E19" s="63">
        <f>Leucaena!E156</f>
        <v>307.12948800000004</v>
      </c>
      <c r="F19" s="63">
        <f>'Butterfly pea'!E156</f>
        <v>532.55517581820504</v>
      </c>
      <c r="G19" s="63">
        <f>Lablab!E156</f>
        <v>1636.5568000000003</v>
      </c>
      <c r="H19" s="63">
        <f>'Forage sorghum'!E156</f>
        <v>1780.8</v>
      </c>
      <c r="I19" s="63">
        <f>Oats!E156</f>
        <v>1580.8576</v>
      </c>
      <c r="J19" s="63">
        <f>'GM7'!E156</f>
        <v>0</v>
      </c>
      <c r="K19" s="63">
        <f>'GM8'!E156</f>
        <v>0</v>
      </c>
      <c r="L19" s="63">
        <f>'GM9'!E156</f>
        <v>0</v>
      </c>
      <c r="M19" s="63">
        <f>'GM10'!E156</f>
        <v>0</v>
      </c>
      <c r="N19" s="63">
        <f>'GM11'!E156</f>
        <v>0</v>
      </c>
    </row>
    <row r="20" spans="2:14" x14ac:dyDescent="0.2">
      <c r="C20" s="60" t="str">
        <f>Buffel!B208</f>
        <v>Freight In</v>
      </c>
      <c r="D20" s="63">
        <f>Buffel!J208</f>
        <v>1.1851645833333333</v>
      </c>
      <c r="E20" s="63">
        <f>Leucaena!E157</f>
        <v>6.4326790178571427</v>
      </c>
      <c r="F20" s="63">
        <f>'Butterfly pea'!E157</f>
        <v>9.8826986499159233</v>
      </c>
      <c r="G20" s="63">
        <f>Lablab!E157</f>
        <v>31.946254545454543</v>
      </c>
      <c r="H20" s="63">
        <f>'Forage sorghum'!E157</f>
        <v>38.165299999999995</v>
      </c>
      <c r="I20" s="63">
        <f>Oats!E157</f>
        <v>35.788969999999992</v>
      </c>
      <c r="J20" s="63">
        <f>'GM7'!E157</f>
        <v>0</v>
      </c>
      <c r="K20" s="63">
        <f>'GM8'!E157</f>
        <v>0</v>
      </c>
      <c r="L20" s="63">
        <f>'GM9'!E157</f>
        <v>0</v>
      </c>
      <c r="M20" s="63">
        <f>'GM10'!E157</f>
        <v>0</v>
      </c>
      <c r="N20" s="63">
        <f>'GM11'!E157</f>
        <v>0</v>
      </c>
    </row>
    <row r="21" spans="2:14" x14ac:dyDescent="0.2">
      <c r="C21" s="60" t="str">
        <f>Buffel!B209</f>
        <v>Freight Out</v>
      </c>
      <c r="D21" s="63">
        <f>Buffel!J209</f>
        <v>4.7993999999999994</v>
      </c>
      <c r="E21" s="63">
        <f>Leucaena!E158</f>
        <v>20.007498749999996</v>
      </c>
      <c r="F21" s="63">
        <f>'Butterfly pea'!E158</f>
        <v>28.542485335614693</v>
      </c>
      <c r="G21" s="63">
        <f>Lablab!E158</f>
        <v>78.070239999999998</v>
      </c>
      <c r="H21" s="63">
        <f>'Forage sorghum'!E158</f>
        <v>84.789399999999986</v>
      </c>
      <c r="I21" s="63">
        <f>Oats!E158</f>
        <v>79.510059999999996</v>
      </c>
      <c r="J21" s="63">
        <f>'GM7'!E158</f>
        <v>0</v>
      </c>
      <c r="K21" s="63">
        <f>'GM8'!E158</f>
        <v>0</v>
      </c>
      <c r="L21" s="63">
        <f>'GM9'!E158</f>
        <v>0</v>
      </c>
      <c r="M21" s="63">
        <f>'GM10'!E158</f>
        <v>0</v>
      </c>
      <c r="N21" s="63">
        <f>'GM11'!E158</f>
        <v>0</v>
      </c>
    </row>
    <row r="22" spans="2:14" x14ac:dyDescent="0.2">
      <c r="C22" s="60" t="str">
        <f>Buffel!B210</f>
        <v>Treatment Expenses</v>
      </c>
      <c r="D22" s="63">
        <f>Buffel!J210</f>
        <v>4.5030000000000001E-2</v>
      </c>
      <c r="E22" s="63">
        <f>Leucaena!E159</f>
        <v>1.2556274999999999</v>
      </c>
      <c r="F22" s="63">
        <f>'Butterfly pea'!E159</f>
        <v>0.27118750912698047</v>
      </c>
      <c r="G22" s="63">
        <f>Lablab!E159</f>
        <v>0.74175999999999997</v>
      </c>
      <c r="H22" s="63">
        <f>'Forage sorghum'!E159</f>
        <v>0.80559999999999998</v>
      </c>
      <c r="I22" s="63">
        <f>Oats!E159</f>
        <v>0.75544000000000011</v>
      </c>
      <c r="J22" s="63">
        <f>'GM7'!E159</f>
        <v>0</v>
      </c>
      <c r="K22" s="63">
        <f>'GM8'!E159</f>
        <v>0</v>
      </c>
      <c r="L22" s="63">
        <f>'GM9'!E159</f>
        <v>0</v>
      </c>
      <c r="M22" s="63">
        <f>'GM10'!E159</f>
        <v>0</v>
      </c>
      <c r="N22" s="63">
        <f>'GM11'!E159</f>
        <v>0</v>
      </c>
    </row>
    <row r="23" spans="2:14" x14ac:dyDescent="0.2">
      <c r="C23" s="60" t="str">
        <f>Buffel!B211</f>
        <v>Selling Expenses</v>
      </c>
      <c r="D23" s="63">
        <f>Buffel!J211</f>
        <v>0.6</v>
      </c>
      <c r="E23" s="63">
        <f>Leucaena!E160</f>
        <v>2.5012500000000002</v>
      </c>
      <c r="F23" s="63">
        <f>'Butterfly pea'!E160</f>
        <v>3.5682566990392166</v>
      </c>
      <c r="G23" s="63">
        <f>Lablab!E160</f>
        <v>9.76</v>
      </c>
      <c r="H23" s="63">
        <f>'Forage sorghum'!E160</f>
        <v>10.6</v>
      </c>
      <c r="I23" s="63">
        <f>Oats!E160</f>
        <v>9.94</v>
      </c>
      <c r="J23" s="63">
        <f>'GM7'!E160</f>
        <v>0</v>
      </c>
      <c r="K23" s="63">
        <f>'GM8'!E160</f>
        <v>0</v>
      </c>
      <c r="L23" s="63">
        <f>'GM9'!E160</f>
        <v>0</v>
      </c>
      <c r="M23" s="63">
        <f>'GM10'!E160</f>
        <v>0</v>
      </c>
      <c r="N23" s="63">
        <f>'GM11'!E160</f>
        <v>0</v>
      </c>
    </row>
    <row r="24" spans="2:14" x14ac:dyDescent="0.2">
      <c r="C24" s="60" t="str">
        <f>Buffel!B212</f>
        <v>Forage growing costs</v>
      </c>
      <c r="D24" s="63">
        <f>Buffel!J212</f>
        <v>0</v>
      </c>
      <c r="E24" s="63">
        <f>Leucaena!E161</f>
        <v>41.629740270093961</v>
      </c>
      <c r="F24" s="63">
        <f>'Butterfly pea'!E161</f>
        <v>58.172862352777486</v>
      </c>
      <c r="G24" s="63">
        <f>Lablab!E161</f>
        <v>152.56256974789915</v>
      </c>
      <c r="H24" s="63">
        <f>'Forage sorghum'!E161</f>
        <v>171.85396638655465</v>
      </c>
      <c r="I24" s="63">
        <f>Oats!E161</f>
        <v>160.05506974789915</v>
      </c>
      <c r="J24" s="63">
        <f>'GM7'!E161</f>
        <v>0</v>
      </c>
      <c r="K24" s="63">
        <f>'GM8'!E161</f>
        <v>0</v>
      </c>
      <c r="L24" s="63">
        <f>'GM9'!E161</f>
        <v>0</v>
      </c>
      <c r="M24" s="63">
        <f>'GM10'!E161</f>
        <v>0</v>
      </c>
      <c r="N24" s="63">
        <f>'GM11'!E161</f>
        <v>0</v>
      </c>
    </row>
    <row r="25" spans="2:14" ht="15.75" x14ac:dyDescent="0.25">
      <c r="C25" s="295" t="str">
        <f>Buffel!G213</f>
        <v>Total Expenses</v>
      </c>
      <c r="D25" s="64">
        <f t="shared" ref="D25:N25" si="0">SUM(D19:D24)</f>
        <v>63.556994583333328</v>
      </c>
      <c r="E25" s="64">
        <f t="shared" si="0"/>
        <v>378.95628353795115</v>
      </c>
      <c r="F25" s="64">
        <f t="shared" si="0"/>
        <v>632.99266636467951</v>
      </c>
      <c r="G25" s="64">
        <f t="shared" si="0"/>
        <v>1909.6376242933543</v>
      </c>
      <c r="H25" s="64">
        <f t="shared" si="0"/>
        <v>2087.014266386554</v>
      </c>
      <c r="I25" s="64">
        <f t="shared" si="0"/>
        <v>1866.9071397478992</v>
      </c>
      <c r="J25" s="64">
        <f t="shared" si="0"/>
        <v>0</v>
      </c>
      <c r="K25" s="64">
        <f t="shared" si="0"/>
        <v>0</v>
      </c>
      <c r="L25" s="64">
        <f t="shared" si="0"/>
        <v>0</v>
      </c>
      <c r="M25" s="64">
        <f t="shared" si="0"/>
        <v>0</v>
      </c>
      <c r="N25" s="64">
        <f t="shared" si="0"/>
        <v>0</v>
      </c>
    </row>
    <row r="26" spans="2:14" x14ac:dyDescent="0.2">
      <c r="C26" s="12" t="str">
        <f>Buffel!B215</f>
        <v>Gross Margin</v>
      </c>
      <c r="D26" s="333">
        <f t="shared" ref="D26:M26" si="1">D17-D25</f>
        <v>51.771933416666691</v>
      </c>
      <c r="E26" s="333">
        <f t="shared" si="1"/>
        <v>117.16365246204879</v>
      </c>
      <c r="F26" s="333">
        <f t="shared" si="1"/>
        <v>74.766767981710245</v>
      </c>
      <c r="G26" s="333">
        <f t="shared" si="1"/>
        <v>26.24666370664545</v>
      </c>
      <c r="H26" s="333">
        <f t="shared" si="1"/>
        <v>17.246853613446092</v>
      </c>
      <c r="I26" s="333">
        <f t="shared" si="1"/>
        <v>104.6799322521008</v>
      </c>
      <c r="J26" s="333">
        <f t="shared" si="1"/>
        <v>0</v>
      </c>
      <c r="K26" s="333">
        <f t="shared" si="1"/>
        <v>0</v>
      </c>
      <c r="L26" s="333">
        <f t="shared" si="1"/>
        <v>0</v>
      </c>
      <c r="M26" s="333">
        <f t="shared" si="1"/>
        <v>0</v>
      </c>
      <c r="N26" s="333">
        <f>'GM11'!E164</f>
        <v>0</v>
      </c>
    </row>
    <row r="27" spans="2:14" ht="15.75" x14ac:dyDescent="0.25">
      <c r="C27" s="17" t="s">
        <v>902</v>
      </c>
      <c r="D27" s="186">
        <f>Buffel!E217</f>
        <v>48.925563416666691</v>
      </c>
      <c r="E27" s="186">
        <f>Leucaena!E166</f>
        <v>107.24042492236657</v>
      </c>
      <c r="F27" s="186">
        <f>'Butterfly pea'!E166</f>
        <v>59.008970998596425</v>
      </c>
      <c r="G27" s="186">
        <f>Lablab!E166</f>
        <v>6.0699360354126046</v>
      </c>
      <c r="H27" s="186">
        <f>'Forage sorghum'!E166</f>
        <v>-14.466023098883348</v>
      </c>
      <c r="I27" s="186">
        <f>Oats!E166</f>
        <v>85.189907046621386</v>
      </c>
      <c r="J27" s="186">
        <f>'GM7'!E166</f>
        <v>0</v>
      </c>
      <c r="K27" s="186">
        <f>'GM8'!E166</f>
        <v>0</v>
      </c>
      <c r="L27" s="186">
        <f>'GM9'!E166</f>
        <v>0</v>
      </c>
      <c r="M27" s="186">
        <f>'GM10'!E166</f>
        <v>0</v>
      </c>
      <c r="N27" s="186">
        <f>'GM11'!E166</f>
        <v>0</v>
      </c>
    </row>
    <row r="28" spans="2:14" ht="15.75" x14ac:dyDescent="0.25">
      <c r="C28" s="60"/>
      <c r="D28" s="63"/>
      <c r="E28" s="63"/>
      <c r="F28" s="63"/>
      <c r="G28" s="63"/>
      <c r="H28" s="63"/>
      <c r="I28" s="63"/>
      <c r="J28" s="186"/>
      <c r="K28" s="186"/>
      <c r="L28" s="186"/>
      <c r="M28" s="186"/>
      <c r="N28" s="186"/>
    </row>
    <row r="29" spans="2:14" x14ac:dyDescent="0.2">
      <c r="C29" s="60" t="str">
        <f>Buffel!B222</f>
        <v>Kilograms of liveweight gain per hectare per annum</v>
      </c>
      <c r="D29" s="339">
        <f>Buffel!D222</f>
        <v>52.648103448275862</v>
      </c>
      <c r="E29" s="339">
        <f>Leucaena!E167</f>
        <v>106.19306999999998</v>
      </c>
      <c r="F29" s="339">
        <f>'Butterfly pea'!E167</f>
        <v>92.489213639096491</v>
      </c>
      <c r="G29" s="339">
        <f>Lablab!E167</f>
        <v>140.5440000000001</v>
      </c>
      <c r="H29" s="339">
        <f>'Forage sorghum'!E167</f>
        <v>151.58000000000001</v>
      </c>
      <c r="I29" s="339">
        <f>Oats!E167</f>
        <v>196.81199999999998</v>
      </c>
      <c r="J29" s="339">
        <f>'GM7'!E167</f>
        <v>0</v>
      </c>
      <c r="K29" s="339">
        <f>'GM8'!E167</f>
        <v>0</v>
      </c>
      <c r="L29" s="339">
        <f>'GM9'!E167</f>
        <v>0</v>
      </c>
      <c r="M29" s="339">
        <f>'GM10'!E167</f>
        <v>0</v>
      </c>
      <c r="N29" s="339">
        <f>'GM11'!E167</f>
        <v>0</v>
      </c>
    </row>
    <row r="30" spans="2:14" x14ac:dyDescent="0.2">
      <c r="C30" t="s">
        <v>681</v>
      </c>
      <c r="D30" s="405">
        <f>Buffel!E18</f>
        <v>3.5288514100885151</v>
      </c>
      <c r="E30" s="405">
        <f>Leucaena!J100</f>
        <v>2.9026324960585854</v>
      </c>
      <c r="F30" s="405">
        <f>'Butterfly pea'!J100</f>
        <v>2.0907593217386897</v>
      </c>
      <c r="G30" s="405">
        <f>Lablab!J100</f>
        <v>1.7632913829175336</v>
      </c>
      <c r="H30" s="405">
        <f>'Forage sorghum'!J100</f>
        <v>1.1228745877637527</v>
      </c>
      <c r="I30" s="405">
        <f>Oats!J100</f>
        <v>1.7633394100585644</v>
      </c>
      <c r="J30" s="405">
        <f>'GM7'!J100</f>
        <v>0</v>
      </c>
      <c r="K30" s="405">
        <f>'GM8'!J100</f>
        <v>0</v>
      </c>
      <c r="L30" s="405">
        <f>'GM9'!J100</f>
        <v>0</v>
      </c>
      <c r="M30" s="405">
        <f>'GM10'!J100</f>
        <v>0</v>
      </c>
      <c r="N30" s="405">
        <f>'GM11'!J100</f>
        <v>0</v>
      </c>
    </row>
    <row r="31" spans="2:14" x14ac:dyDescent="0.2">
      <c r="E31" s="339"/>
      <c r="F31" s="339"/>
      <c r="G31" s="339"/>
      <c r="H31" s="339"/>
      <c r="I31" s="339"/>
      <c r="J31" s="63"/>
      <c r="K31" s="63"/>
      <c r="L31" s="63"/>
      <c r="M31" s="63"/>
    </row>
    <row r="32" spans="2:14" x14ac:dyDescent="0.2">
      <c r="D32" s="406"/>
      <c r="E32" s="406"/>
      <c r="F32" s="406"/>
      <c r="G32" s="406"/>
      <c r="H32" s="406"/>
      <c r="I32" s="406"/>
    </row>
    <row r="33" spans="2:14" x14ac:dyDescent="0.2">
      <c r="D33" s="406"/>
      <c r="E33" s="406"/>
      <c r="F33" s="406"/>
      <c r="G33" s="406"/>
      <c r="H33" s="406"/>
      <c r="I33" s="406"/>
    </row>
    <row r="34" spans="2:14" ht="15.75" x14ac:dyDescent="0.25">
      <c r="B34" s="189" t="s">
        <v>254</v>
      </c>
      <c r="C34" s="188"/>
      <c r="D34" s="189"/>
    </row>
    <row r="35" spans="2:14" ht="15.75" x14ac:dyDescent="0.25">
      <c r="B35" s="13" t="s">
        <v>925</v>
      </c>
    </row>
    <row r="36" spans="2:14" x14ac:dyDescent="0.2">
      <c r="B36" s="3"/>
    </row>
    <row r="37" spans="2:14" x14ac:dyDescent="0.2">
      <c r="B37" s="3"/>
      <c r="D37" s="62" t="s">
        <v>425</v>
      </c>
      <c r="E37" s="62" t="s">
        <v>426</v>
      </c>
      <c r="F37" s="62" t="s">
        <v>427</v>
      </c>
      <c r="G37" s="62" t="s">
        <v>428</v>
      </c>
      <c r="H37" s="62" t="s">
        <v>429</v>
      </c>
      <c r="I37" s="62" t="s">
        <v>430</v>
      </c>
      <c r="J37" s="62" t="s">
        <v>431</v>
      </c>
      <c r="K37" s="62" t="s">
        <v>432</v>
      </c>
      <c r="L37" s="62" t="s">
        <v>433</v>
      </c>
      <c r="M37" s="62" t="s">
        <v>434</v>
      </c>
      <c r="N37" s="62" t="s">
        <v>251</v>
      </c>
    </row>
    <row r="38" spans="2:14" x14ac:dyDescent="0.2">
      <c r="D38" s="12"/>
      <c r="E38" s="12"/>
      <c r="F38" s="12"/>
      <c r="G38" s="12"/>
      <c r="H38" s="12"/>
      <c r="I38" s="12"/>
      <c r="J38" s="12"/>
      <c r="K38" s="12"/>
      <c r="L38" s="12"/>
      <c r="M38" s="12"/>
      <c r="N38" s="12"/>
    </row>
    <row r="39" spans="2:14" x14ac:dyDescent="0.2">
      <c r="N39" s="60"/>
    </row>
    <row r="40" spans="2:14" ht="15.75" x14ac:dyDescent="0.25">
      <c r="C40" s="5" t="s">
        <v>435</v>
      </c>
      <c r="D40" s="176" t="str">
        <f>D15</f>
        <v>Baseline buffel</v>
      </c>
      <c r="E40" s="176" t="str">
        <f t="shared" ref="E40:M40" si="2">E15</f>
        <v>Leucaena</v>
      </c>
      <c r="F40" s="176" t="str">
        <f t="shared" si="2"/>
        <v>Butterfly pea</v>
      </c>
      <c r="G40" s="176" t="str">
        <f t="shared" si="2"/>
        <v>Lablab</v>
      </c>
      <c r="H40" s="176" t="str">
        <f t="shared" si="2"/>
        <v>Forage sorghum</v>
      </c>
      <c r="I40" s="176" t="str">
        <f t="shared" si="2"/>
        <v>Oats</v>
      </c>
      <c r="J40" s="176" t="str">
        <f t="shared" si="2"/>
        <v>GM7</v>
      </c>
      <c r="K40" s="176" t="str">
        <f t="shared" si="2"/>
        <v>GM8</v>
      </c>
      <c r="L40" s="176" t="str">
        <f t="shared" si="2"/>
        <v>GM9</v>
      </c>
      <c r="M40" s="176" t="str">
        <f t="shared" si="2"/>
        <v>GM10</v>
      </c>
      <c r="N40" s="176" t="str">
        <f>N15</f>
        <v>GM11</v>
      </c>
    </row>
    <row r="41" spans="2:14" x14ac:dyDescent="0.2">
      <c r="D41" s="60" t="s">
        <v>904</v>
      </c>
      <c r="E41" s="60" t="s">
        <v>904</v>
      </c>
      <c r="F41" s="60" t="s">
        <v>904</v>
      </c>
      <c r="G41" s="60" t="s">
        <v>904</v>
      </c>
      <c r="H41" s="60" t="s">
        <v>904</v>
      </c>
      <c r="I41" s="60" t="s">
        <v>904</v>
      </c>
      <c r="J41" s="60" t="s">
        <v>904</v>
      </c>
      <c r="K41" s="60" t="s">
        <v>904</v>
      </c>
      <c r="L41" s="60" t="s">
        <v>904</v>
      </c>
      <c r="M41" s="60" t="s">
        <v>904</v>
      </c>
      <c r="N41" s="60" t="s">
        <v>904</v>
      </c>
    </row>
    <row r="42" spans="2:14" ht="15.75" x14ac:dyDescent="0.25">
      <c r="B42" s="17"/>
      <c r="C42" s="297" t="str">
        <f>C17</f>
        <v>Livestock Sales</v>
      </c>
      <c r="D42" s="63">
        <f>Buffel!J206</f>
        <v>115.32892800000002</v>
      </c>
      <c r="E42" s="63">
        <f>Leucaena!J155</f>
        <v>496.11993599999994</v>
      </c>
      <c r="F42" s="63">
        <f>'Butterfly pea'!J155</f>
        <v>707.75943434638975</v>
      </c>
      <c r="G42" s="63">
        <f>Lablab!J155</f>
        <v>1935.8842879999997</v>
      </c>
      <c r="H42" s="63">
        <f>'Forage sorghum'!J155</f>
        <v>2104.2611200000001</v>
      </c>
      <c r="I42" s="63">
        <f>Oats!J155</f>
        <v>1971.587072</v>
      </c>
      <c r="J42" s="63">
        <f>'GM7'!J155</f>
        <v>0</v>
      </c>
      <c r="K42" s="63">
        <f>'GM8'!J155</f>
        <v>0</v>
      </c>
      <c r="L42" s="63">
        <f>'GM9'!J155</f>
        <v>0</v>
      </c>
      <c r="M42" s="63">
        <f>'GM10'!J155</f>
        <v>0</v>
      </c>
      <c r="N42" s="63">
        <f>'GM11'!J155</f>
        <v>0</v>
      </c>
    </row>
    <row r="43" spans="2:14" ht="15.75" x14ac:dyDescent="0.25">
      <c r="C43" s="330" t="str">
        <f t="shared" ref="C43:C52" si="3">C18</f>
        <v>Variable costs</v>
      </c>
      <c r="D43" s="63"/>
      <c r="E43" s="63"/>
      <c r="F43" s="63"/>
      <c r="G43" s="63"/>
      <c r="H43" s="63"/>
      <c r="I43" s="63"/>
      <c r="J43" s="63"/>
      <c r="K43" s="63"/>
      <c r="L43" s="63"/>
      <c r="M43" s="63"/>
      <c r="N43" s="63"/>
    </row>
    <row r="44" spans="2:14" x14ac:dyDescent="0.2">
      <c r="C44" s="404" t="str">
        <f t="shared" si="3"/>
        <v>Livestock Purchases</v>
      </c>
      <c r="D44" s="63">
        <f>Buffel!J207</f>
        <v>56.927399999999999</v>
      </c>
      <c r="E44" s="63">
        <f>Leucaena!J156</f>
        <v>307.12948800000004</v>
      </c>
      <c r="F44" s="63">
        <f>'Butterfly pea'!J156</f>
        <v>532.55517581820504</v>
      </c>
      <c r="G44" s="63">
        <f>Lablab!J156</f>
        <v>1636.5568000000003</v>
      </c>
      <c r="H44" s="63">
        <f>'Forage sorghum'!J156</f>
        <v>1780.8</v>
      </c>
      <c r="I44" s="63">
        <f>Oats!J156</f>
        <v>1580.8576</v>
      </c>
      <c r="J44" s="63">
        <f>'GM7'!J156</f>
        <v>0</v>
      </c>
      <c r="K44" s="63">
        <f>'GM8'!J156</f>
        <v>0</v>
      </c>
      <c r="L44" s="63">
        <f>'GM9'!J156</f>
        <v>0</v>
      </c>
      <c r="M44" s="63">
        <f>'GM10'!J156</f>
        <v>0</v>
      </c>
      <c r="N44" s="63">
        <f>'GM11'!J156</f>
        <v>0</v>
      </c>
    </row>
    <row r="45" spans="2:14" x14ac:dyDescent="0.2">
      <c r="C45" s="404" t="str">
        <f t="shared" si="3"/>
        <v>Freight In</v>
      </c>
      <c r="D45" s="63">
        <f>Buffel!J208</f>
        <v>1.1851645833333333</v>
      </c>
      <c r="E45" s="63">
        <f>Leucaena!J157</f>
        <v>6.4326790178571427</v>
      </c>
      <c r="F45" s="63">
        <f>'Butterfly pea'!J157</f>
        <v>9.8826986499159233</v>
      </c>
      <c r="G45" s="63">
        <f>Lablab!J157</f>
        <v>31.946254545454543</v>
      </c>
      <c r="H45" s="63">
        <f>'Forage sorghum'!J157</f>
        <v>38.165299999999995</v>
      </c>
      <c r="I45" s="63">
        <f>Oats!J157</f>
        <v>35.788969999999992</v>
      </c>
      <c r="J45" s="63">
        <f>'GM7'!J157</f>
        <v>0</v>
      </c>
      <c r="K45" s="63">
        <f>'GM8'!J157</f>
        <v>0</v>
      </c>
      <c r="L45" s="63">
        <f>'GM9'!J157</f>
        <v>0</v>
      </c>
      <c r="M45" s="63">
        <f>'GM10'!J157</f>
        <v>0</v>
      </c>
      <c r="N45" s="63">
        <f>'GM11'!J157</f>
        <v>0</v>
      </c>
    </row>
    <row r="46" spans="2:14" ht="15.75" x14ac:dyDescent="0.25">
      <c r="B46" s="13"/>
      <c r="C46" s="404" t="str">
        <f t="shared" si="3"/>
        <v>Freight Out</v>
      </c>
      <c r="D46" s="63">
        <f>Buffel!J209</f>
        <v>4.7993999999999994</v>
      </c>
      <c r="E46" s="63">
        <f>Leucaena!J158</f>
        <v>20.007498749999996</v>
      </c>
      <c r="F46" s="63">
        <f>'Butterfly pea'!J158</f>
        <v>28.542485335614693</v>
      </c>
      <c r="G46" s="63">
        <f>Lablab!J158</f>
        <v>78.070239999999998</v>
      </c>
      <c r="H46" s="63">
        <f>'Forage sorghum'!J158</f>
        <v>84.789399999999986</v>
      </c>
      <c r="I46" s="63">
        <f>Oats!J158</f>
        <v>79.510059999999996</v>
      </c>
      <c r="J46" s="63">
        <f>'GM7'!J158</f>
        <v>0</v>
      </c>
      <c r="K46" s="63">
        <f>'GM8'!J158</f>
        <v>0</v>
      </c>
      <c r="L46" s="63">
        <f>'GM9'!J158</f>
        <v>0</v>
      </c>
      <c r="M46" s="63">
        <f>'GM10'!J158</f>
        <v>0</v>
      </c>
      <c r="N46" s="63">
        <f>'GM11'!J158</f>
        <v>0</v>
      </c>
    </row>
    <row r="47" spans="2:14" x14ac:dyDescent="0.2">
      <c r="C47" s="404" t="str">
        <f t="shared" si="3"/>
        <v>Treatment Expenses</v>
      </c>
      <c r="D47" s="63">
        <f>Buffel!J210</f>
        <v>4.5030000000000001E-2</v>
      </c>
      <c r="E47" s="63">
        <f>Leucaena!J159</f>
        <v>1.2556274999999999</v>
      </c>
      <c r="F47" s="63">
        <f>'Butterfly pea'!J159</f>
        <v>0.27118750912698047</v>
      </c>
      <c r="G47" s="63">
        <f>Lablab!J159</f>
        <v>0.74175999999999997</v>
      </c>
      <c r="H47" s="63">
        <f>'Forage sorghum'!J159</f>
        <v>0.80559999999999998</v>
      </c>
      <c r="I47" s="63">
        <f>Oats!J159</f>
        <v>0.75544000000000011</v>
      </c>
      <c r="J47" s="63">
        <f>'GM7'!J159</f>
        <v>0</v>
      </c>
      <c r="K47" s="63">
        <f>'GM8'!J159</f>
        <v>0</v>
      </c>
      <c r="L47" s="63">
        <f>'GM9'!J159</f>
        <v>0</v>
      </c>
      <c r="M47" s="63">
        <f>'GM10'!J159</f>
        <v>0</v>
      </c>
      <c r="N47" s="63">
        <f>'GM11'!J159</f>
        <v>0</v>
      </c>
    </row>
    <row r="48" spans="2:14" x14ac:dyDescent="0.2">
      <c r="C48" s="404" t="str">
        <f t="shared" si="3"/>
        <v>Selling Expenses</v>
      </c>
      <c r="D48" s="63">
        <f>Buffel!J211</f>
        <v>0.6</v>
      </c>
      <c r="E48" s="63">
        <f>Leucaena!J160</f>
        <v>2.5012500000000002</v>
      </c>
      <c r="F48" s="63">
        <f>'Butterfly pea'!J160</f>
        <v>3.5682566990392166</v>
      </c>
      <c r="G48" s="63">
        <f>Lablab!J160</f>
        <v>9.76</v>
      </c>
      <c r="H48" s="63">
        <f>'Forage sorghum'!J160</f>
        <v>10.6</v>
      </c>
      <c r="I48" s="63">
        <f>Oats!J160</f>
        <v>9.94</v>
      </c>
      <c r="J48" s="63">
        <f>'GM7'!J160</f>
        <v>0</v>
      </c>
      <c r="K48" s="63">
        <f>'GM8'!J160</f>
        <v>0</v>
      </c>
      <c r="L48" s="63">
        <f>'GM9'!J160</f>
        <v>0</v>
      </c>
      <c r="M48" s="63">
        <f>'GM10'!J160</f>
        <v>0</v>
      </c>
      <c r="N48" s="63">
        <f>'GM11'!J160</f>
        <v>0</v>
      </c>
    </row>
    <row r="49" spans="3:15" x14ac:dyDescent="0.2">
      <c r="C49" s="404" t="str">
        <f t="shared" si="3"/>
        <v>Forage growing costs</v>
      </c>
      <c r="D49" s="63">
        <f>Buffel!J212</f>
        <v>0</v>
      </c>
      <c r="E49" s="63">
        <f>Leucaena!J161</f>
        <v>45.465856295211815</v>
      </c>
      <c r="F49" s="63">
        <f>'Butterfly pea'!J161</f>
        <v>83.485890278062101</v>
      </c>
      <c r="G49" s="63">
        <f>Lablab!J161</f>
        <v>223.44152142857146</v>
      </c>
      <c r="H49" s="63">
        <f>'Forage sorghum'!J161</f>
        <v>270.39085714285716</v>
      </c>
      <c r="I49" s="63">
        <f>Oats!J161</f>
        <v>248.73827142857147</v>
      </c>
      <c r="J49" s="63">
        <f>'GM7'!J161</f>
        <v>0</v>
      </c>
      <c r="K49" s="63">
        <f>'GM8'!J161</f>
        <v>0</v>
      </c>
      <c r="L49" s="63">
        <f>'GM9'!J161</f>
        <v>0</v>
      </c>
      <c r="M49" s="63">
        <f>'GM10'!J161</f>
        <v>0</v>
      </c>
      <c r="N49" s="63">
        <f>'GM11'!J161</f>
        <v>0</v>
      </c>
    </row>
    <row r="50" spans="3:15" ht="15.75" x14ac:dyDescent="0.25">
      <c r="C50" s="297" t="str">
        <f t="shared" si="3"/>
        <v>Total Expenses</v>
      </c>
      <c r="D50" s="64">
        <f>SUM(D44:D49)</f>
        <v>63.556994583333328</v>
      </c>
      <c r="E50" s="64">
        <f t="shared" ref="E50:N50" si="4">SUM(E44:E49)</f>
        <v>382.79239956306901</v>
      </c>
      <c r="F50" s="64">
        <f t="shared" si="4"/>
        <v>658.30569428996409</v>
      </c>
      <c r="G50" s="64">
        <f t="shared" si="4"/>
        <v>1980.5165759740264</v>
      </c>
      <c r="H50" s="64">
        <f t="shared" si="4"/>
        <v>2185.5511571428569</v>
      </c>
      <c r="I50" s="64">
        <f t="shared" si="4"/>
        <v>1955.5903414285717</v>
      </c>
      <c r="J50" s="64">
        <f t="shared" si="4"/>
        <v>0</v>
      </c>
      <c r="K50" s="64">
        <f t="shared" si="4"/>
        <v>0</v>
      </c>
      <c r="L50" s="64">
        <f t="shared" si="4"/>
        <v>0</v>
      </c>
      <c r="M50" s="64">
        <f t="shared" si="4"/>
        <v>0</v>
      </c>
      <c r="N50" s="64">
        <f t="shared" si="4"/>
        <v>0</v>
      </c>
    </row>
    <row r="51" spans="3:15" x14ac:dyDescent="0.2">
      <c r="C51" s="404" t="str">
        <f t="shared" si="3"/>
        <v>Gross Margin</v>
      </c>
      <c r="D51" s="333">
        <f t="shared" ref="D51:I51" si="5">D42-D50</f>
        <v>51.771933416666691</v>
      </c>
      <c r="E51" s="333">
        <f t="shared" si="5"/>
        <v>113.32753643693093</v>
      </c>
      <c r="F51" s="333">
        <f t="shared" si="5"/>
        <v>49.453740056425659</v>
      </c>
      <c r="G51" s="333">
        <f t="shared" si="5"/>
        <v>-44.632287974026667</v>
      </c>
      <c r="H51" s="333">
        <f t="shared" si="5"/>
        <v>-81.290037142856818</v>
      </c>
      <c r="I51" s="333">
        <f t="shared" si="5"/>
        <v>15.996730571428316</v>
      </c>
      <c r="J51" s="333">
        <f>J42-J50</f>
        <v>0</v>
      </c>
      <c r="K51" s="333">
        <f>K42-K50</f>
        <v>0</v>
      </c>
      <c r="L51" s="333">
        <f>L42-L50</f>
        <v>0</v>
      </c>
      <c r="M51" s="333">
        <f>M42-M50</f>
        <v>0</v>
      </c>
      <c r="N51" s="333">
        <f>N42-N50</f>
        <v>0</v>
      </c>
      <c r="O51" s="1"/>
    </row>
    <row r="52" spans="3:15" ht="15.75" x14ac:dyDescent="0.25">
      <c r="C52" s="297" t="str">
        <f t="shared" si="3"/>
        <v>Gross Margin (after Interest)</v>
      </c>
      <c r="D52" s="186">
        <f>Buffel!J217</f>
        <v>48.925563416666691</v>
      </c>
      <c r="E52" s="186">
        <f>Leucaena!J166</f>
        <v>103.40430889724868</v>
      </c>
      <c r="F52" s="186">
        <f>'Butterfly pea'!J166</f>
        <v>33.695943073311874</v>
      </c>
      <c r="G52" s="186">
        <f>Lablab!J166</f>
        <v>-64.809015645259578</v>
      </c>
      <c r="H52" s="186">
        <f>'Forage sorghum'!J166</f>
        <v>-113.00291385518609</v>
      </c>
      <c r="I52" s="186">
        <f>Oats!J166</f>
        <v>-3.4932946340506739</v>
      </c>
      <c r="J52" s="186">
        <f>'GM7'!J166</f>
        <v>0</v>
      </c>
      <c r="K52" s="186">
        <f>'GM8'!J166</f>
        <v>0</v>
      </c>
      <c r="L52" s="186">
        <f>'GM9'!J166</f>
        <v>0</v>
      </c>
      <c r="M52" s="186">
        <f>'GM10'!J166</f>
        <v>0</v>
      </c>
      <c r="N52" s="186">
        <f>'GM11'!J166</f>
        <v>0</v>
      </c>
    </row>
    <row r="53" spans="3:15" x14ac:dyDescent="0.2">
      <c r="C53" s="404"/>
      <c r="D53" s="63"/>
      <c r="E53" s="63"/>
      <c r="F53" s="63"/>
      <c r="G53" s="63"/>
      <c r="H53" s="63"/>
      <c r="I53" s="63"/>
      <c r="J53" s="63"/>
      <c r="K53" s="63"/>
      <c r="L53" s="63"/>
      <c r="M53" s="63"/>
      <c r="N53" s="333"/>
    </row>
    <row r="54" spans="3:15" x14ac:dyDescent="0.2">
      <c r="C54" s="404"/>
      <c r="D54" s="63"/>
      <c r="E54" s="63"/>
      <c r="F54" s="63"/>
      <c r="G54" s="63"/>
      <c r="H54" s="63"/>
      <c r="I54" s="63"/>
      <c r="J54" s="63"/>
      <c r="K54" s="63"/>
      <c r="L54" s="63"/>
      <c r="M54" s="63"/>
    </row>
    <row r="55" spans="3:15" x14ac:dyDescent="0.2">
      <c r="C55" s="185"/>
      <c r="D55" s="339"/>
      <c r="E55" s="339"/>
      <c r="F55" s="339"/>
      <c r="G55" s="339"/>
      <c r="H55" s="339"/>
      <c r="I55" s="339"/>
      <c r="J55"/>
      <c r="K55"/>
      <c r="L55"/>
      <c r="M55"/>
    </row>
    <row r="56" spans="3:15" x14ac:dyDescent="0.2">
      <c r="C56" s="185"/>
      <c r="D56"/>
      <c r="E56"/>
      <c r="F56"/>
      <c r="G56"/>
      <c r="H56"/>
      <c r="I56"/>
      <c r="J56"/>
      <c r="K56"/>
      <c r="L56"/>
      <c r="M56"/>
    </row>
    <row r="58" spans="3:15" x14ac:dyDescent="0.2">
      <c r="D58"/>
      <c r="E58"/>
      <c r="F58"/>
      <c r="G58"/>
      <c r="H58"/>
      <c r="I58"/>
      <c r="J58"/>
      <c r="K58"/>
      <c r="L58"/>
      <c r="M58"/>
    </row>
    <row r="59" spans="3:15" x14ac:dyDescent="0.2">
      <c r="D59"/>
      <c r="E59"/>
      <c r="F59"/>
      <c r="G59"/>
      <c r="H59"/>
      <c r="I59"/>
      <c r="J59"/>
      <c r="K59"/>
      <c r="L59"/>
      <c r="M59"/>
    </row>
    <row r="60" spans="3:15" x14ac:dyDescent="0.2">
      <c r="D60"/>
      <c r="E60"/>
      <c r="F60"/>
      <c r="G60"/>
      <c r="H60"/>
      <c r="I60"/>
      <c r="J60"/>
      <c r="K60"/>
      <c r="L60"/>
      <c r="M60"/>
    </row>
    <row r="61" spans="3:15" x14ac:dyDescent="0.2">
      <c r="D61"/>
      <c r="E61"/>
      <c r="F61"/>
      <c r="G61"/>
      <c r="H61"/>
      <c r="I61"/>
      <c r="J61"/>
      <c r="K61"/>
      <c r="L61"/>
      <c r="M61"/>
    </row>
  </sheetData>
  <phoneticPr fontId="0" type="noConversion"/>
  <pageMargins left="0.34" right="0.35" top="1" bottom="1" header="0.5" footer="0.5"/>
  <pageSetup paperSize="9" scale="56" orientation="landscape" r:id="rId1"/>
  <headerFooter alignWithMargins="0">
    <oddHeader>&amp;C&amp;F &amp;A</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dimension ref="A1:HW1"/>
  <sheetViews>
    <sheetView workbookViewId="0"/>
  </sheetViews>
  <sheetFormatPr defaultRowHeight="15" x14ac:dyDescent="0.2"/>
  <sheetData>
    <row r="1" spans="1:231" x14ac:dyDescent="0.2">
      <c r="A1">
        <f>1</f>
        <v>1</v>
      </c>
      <c r="B1" t="e">
        <f ca="1">_xll.RiskCDS1([0]!SummerCropYield,[0]!SummerCropYield,Sheet2!A1)</f>
        <v>#NAME?</v>
      </c>
      <c r="C1" t="e">
        <f ca="1">_xll.RiskCDS2(Sheet2!B1,1,)</f>
        <v>#NAME?</v>
      </c>
      <c r="D1" t="e">
        <f ca="1">_xll.RiskCDS1([0]!WinterCropYields,[0]!WinterCropYields,Sheet2!A1)</f>
        <v>#NAME?</v>
      </c>
      <c r="E1" t="e">
        <f ca="1">_xll.RiskCDS2(Sheet2!D1,1,)</f>
        <v>#NAME?</v>
      </c>
      <c r="F1" t="e">
        <f ca="1">_xll.RiskCDS1([0]!pricecorrelation,[0]!pricecorrelation,Sheet2!A1)</f>
        <v>#NAME?</v>
      </c>
      <c r="G1" t="e">
        <f ca="1">_xll.RiskCDS2(Sheet2!F1,1,)</f>
        <v>#NAME?</v>
      </c>
      <c r="H1" t="e">
        <f ca="1">_xll.RiskCDS2(Sheet2!F1,2,)</f>
        <v>#NAME?</v>
      </c>
      <c r="I1" t="e">
        <f ca="1">_xll.RiskCDS1([0]!Activity1animalproductivity,[0]!Activity1animalproductivity,Sheet2!A1)</f>
        <v>#NAME?</v>
      </c>
      <c r="J1" t="e">
        <f ca="1">_xll.RiskCDS2(Sheet2!I1,1,)</f>
        <v>#NAME?</v>
      </c>
      <c r="K1" t="e">
        <f ca="1">_xll.RiskCDS2(Sheet2!I1,2,)</f>
        <v>#NAME?</v>
      </c>
      <c r="L1" t="e">
        <f ca="1">_xll.RiskCDS2(Sheet2!I1,3,)</f>
        <v>#NAME?</v>
      </c>
      <c r="M1" t="e">
        <f ca="1">_xll.RiskCDS1([0]!SummerCropYield,[0]!SummerCropYield,Sheet2!A1)</f>
        <v>#NAME?</v>
      </c>
      <c r="N1" t="e">
        <f ca="1">_xll.RiskCDS2(Sheet2!M1,2,)</f>
        <v>#NAME?</v>
      </c>
      <c r="O1" t="e">
        <f ca="1">_xll.RiskCDS1([0]!WinterCropYields,[0]!WinterCropYields,Sheet2!A1)</f>
        <v>#NAME?</v>
      </c>
      <c r="P1" t="e">
        <f ca="1">_xll.RiskCDS2(Sheet2!O1,2,)</f>
        <v>#NAME?</v>
      </c>
      <c r="Q1" t="e">
        <f ca="1">_xll.RiskCDS1([0]!pricecorrelation,[0]!pricecorrelation,Sheet2!A1)</f>
        <v>#NAME?</v>
      </c>
      <c r="R1" t="e">
        <f ca="1">_xll.RiskCDS2(Sheet2!Q1,3,)</f>
        <v>#NAME?</v>
      </c>
      <c r="S1" t="e">
        <f ca="1">_xll.RiskCDS2(Sheet2!Q1,4,)</f>
        <v>#NAME?</v>
      </c>
      <c r="T1" t="e">
        <f ca="1">_xll.RiskCDS1([0]!Activity2animalproductivity,[0]!Activity2animalproductivity,Sheet2!A1)</f>
        <v>#NAME?</v>
      </c>
      <c r="U1" t="e">
        <f ca="1">_xll.RiskCDS2(Sheet2!T1,1,)</f>
        <v>#NAME?</v>
      </c>
      <c r="V1" t="e">
        <f ca="1">_xll.RiskCDS2(Sheet2!T1,2,)</f>
        <v>#NAME?</v>
      </c>
      <c r="W1" t="e">
        <f ca="1">_xll.RiskCDS2(Sheet2!T1,3,)</f>
        <v>#NAME?</v>
      </c>
      <c r="X1" t="e">
        <f ca="1">_xll.RiskCDS1([0]!SummerCropYield,[0]!SummerCropYield,Sheet2!A1)</f>
        <v>#NAME?</v>
      </c>
      <c r="Y1" t="e">
        <f ca="1">_xll.RiskCDS2(Sheet2!X1,3,)</f>
        <v>#NAME?</v>
      </c>
      <c r="Z1" t="e">
        <f ca="1">_xll.RiskCDS1([0]!WinterCropYields,[0]!WinterCropYields,Sheet2!A1)</f>
        <v>#NAME?</v>
      </c>
      <c r="AA1" t="e">
        <f ca="1">_xll.RiskCDS2(Sheet2!Z1,3,)</f>
        <v>#NAME?</v>
      </c>
      <c r="AB1" t="e">
        <f ca="1">_xll.RiskCDS1([0]!pricecorrelation,[0]!pricecorrelation,Sheet2!A1)</f>
        <v>#NAME?</v>
      </c>
      <c r="AC1" t="e">
        <f ca="1">_xll.RiskCDS2(Sheet2!AB1,5,)</f>
        <v>#NAME?</v>
      </c>
      <c r="AD1" t="e">
        <f ca="1">_xll.RiskCDS2(Sheet2!AB1,6,)</f>
        <v>#NAME?</v>
      </c>
      <c r="AE1" t="e">
        <f ca="1">_xll.RiskCDS1([0]!Activity3animalproductivity,[0]!Activity3animalproductivity,Sheet2!A1)</f>
        <v>#NAME?</v>
      </c>
      <c r="AF1" t="e">
        <f ca="1">_xll.RiskCDS2(Sheet2!AE1,1,)</f>
        <v>#NAME?</v>
      </c>
      <c r="AG1" t="e">
        <f ca="1">_xll.RiskCDS2(Sheet2!AE1,2,)</f>
        <v>#NAME?</v>
      </c>
      <c r="AH1" t="e">
        <f ca="1">_xll.RiskCDS2(Sheet2!AE1,3,)</f>
        <v>#NAME?</v>
      </c>
      <c r="AI1" t="e">
        <f ca="1">_xll.RiskCDS1([0]!SummerCropYield,[0]!SummerCropYield,Sheet2!A1)</f>
        <v>#NAME?</v>
      </c>
      <c r="AJ1" t="e">
        <f ca="1">_xll.RiskCDS2(Sheet2!AI1,4,)</f>
        <v>#NAME?</v>
      </c>
      <c r="AK1" t="e">
        <f ca="1">_xll.RiskCDS1([0]!WinterCropYields,[0]!WinterCropYields,Sheet2!A1)</f>
        <v>#NAME?</v>
      </c>
      <c r="AL1" t="e">
        <f ca="1">_xll.RiskCDS2(Sheet2!AK1,4,)</f>
        <v>#NAME?</v>
      </c>
      <c r="AM1" t="e">
        <f ca="1">_xll.RiskCDS1([0]!pricecorrelation,[0]!pricecorrelation,Sheet2!A1)</f>
        <v>#NAME?</v>
      </c>
      <c r="AN1" t="e">
        <f ca="1">_xll.RiskCDS2(Sheet2!AM1,7,)</f>
        <v>#NAME?</v>
      </c>
      <c r="AO1" t="e">
        <f ca="1">_xll.RiskCDS2(Sheet2!AM1,8,)</f>
        <v>#NAME?</v>
      </c>
      <c r="AP1" t="e">
        <f ca="1">_xll.RiskCDS1([0]!Activity4animalproductivity,[0]!Activity4animalproductivity,Sheet2!A1)</f>
        <v>#NAME?</v>
      </c>
      <c r="AQ1" t="e">
        <f ca="1">_xll.RiskCDS2(Sheet2!AP1,1,)</f>
        <v>#NAME?</v>
      </c>
      <c r="AR1" t="e">
        <f ca="1">_xll.RiskCDS2(Sheet2!AP1,2,)</f>
        <v>#NAME?</v>
      </c>
      <c r="AS1" t="e">
        <f ca="1">_xll.RiskCDS2(Sheet2!AP1,3,)</f>
        <v>#NAME?</v>
      </c>
      <c r="AT1" t="e">
        <f ca="1">_xll.RiskCDS1([0]!SummerCropYield,[0]!SummerCropYield,Sheet2!A1)</f>
        <v>#NAME?</v>
      </c>
      <c r="AU1" t="e">
        <f ca="1">_xll.RiskCDS2(Sheet2!AT1,5,)</f>
        <v>#NAME?</v>
      </c>
      <c r="AV1" t="e">
        <f ca="1">_xll.RiskCDS1([0]!WinterCropYields,[0]!WinterCropYields,Sheet2!A1)</f>
        <v>#NAME?</v>
      </c>
      <c r="AW1" t="e">
        <f ca="1">_xll.RiskCDS2(Sheet2!AV1,5,)</f>
        <v>#NAME?</v>
      </c>
      <c r="AX1" t="e">
        <f ca="1">_xll.RiskCDS1([0]!pricecorrelation,[0]!pricecorrelation,Sheet2!A1)</f>
        <v>#NAME?</v>
      </c>
      <c r="AY1" t="e">
        <f ca="1">_xll.RiskCDS2(Sheet2!AX1,9,)</f>
        <v>#NAME?</v>
      </c>
      <c r="AZ1" t="e">
        <f ca="1">_xll.RiskCDS2(Sheet2!AX1,10,)</f>
        <v>#NAME?</v>
      </c>
      <c r="BA1" t="e">
        <f ca="1">_xll.RiskCDS1([0]!Activity5animalproductivity,[0]!Activity5animalproductivity,Sheet2!A1)</f>
        <v>#NAME?</v>
      </c>
      <c r="BB1" t="e">
        <f ca="1">_xll.RiskCDS2(Sheet2!BA1,1,)</f>
        <v>#NAME?</v>
      </c>
      <c r="BC1" t="e">
        <f ca="1">_xll.RiskCDS2(Sheet2!BA1,2,)</f>
        <v>#NAME?</v>
      </c>
      <c r="BD1" t="e">
        <f ca="1">_xll.RiskCDS2(Sheet2!BA1,3,)</f>
        <v>#NAME?</v>
      </c>
      <c r="BE1" t="e">
        <f ca="1">_xll.RiskCDS1([0]!SummerCropYield,[0]!SummerCropYield,Sheet2!A1)</f>
        <v>#NAME?</v>
      </c>
      <c r="BF1" t="e">
        <f ca="1">_xll.RiskCDS2(Sheet2!BE1,6,)</f>
        <v>#NAME?</v>
      </c>
      <c r="BG1" t="e">
        <f ca="1">_xll.RiskCDS1([0]!WinterCropYields,[0]!WinterCropYields,Sheet2!A1)</f>
        <v>#NAME?</v>
      </c>
      <c r="BH1" t="e">
        <f ca="1">_xll.RiskCDS2(Sheet2!BG1,6,)</f>
        <v>#NAME?</v>
      </c>
      <c r="BI1" t="e">
        <f ca="1">_xll.RiskCDS1([0]!pricecorrelation,[0]!pricecorrelation,Sheet2!A1)</f>
        <v>#NAME?</v>
      </c>
      <c r="BJ1" t="e">
        <f ca="1">_xll.RiskCDS2(Sheet2!BI1,11,)</f>
        <v>#NAME?</v>
      </c>
      <c r="BK1" t="e">
        <f ca="1">_xll.RiskCDS2(Sheet2!BI1,12,)</f>
        <v>#NAME?</v>
      </c>
      <c r="BL1" t="e">
        <f ca="1">_xll.RiskCDS1([0]!Activity6animalproductivity,[0]!Activity6animalproductivity,Sheet2!A1)</f>
        <v>#NAME?</v>
      </c>
      <c r="BM1" t="e">
        <f ca="1">_xll.RiskCDS2(Sheet2!BL1,1,)</f>
        <v>#NAME?</v>
      </c>
      <c r="BN1" t="e">
        <f ca="1">_xll.RiskCDS2(Sheet2!BL1,2,)</f>
        <v>#NAME?</v>
      </c>
      <c r="BO1" t="e">
        <f ca="1">_xll.RiskCDS2(Sheet2!BL1,3,)</f>
        <v>#NAME?</v>
      </c>
      <c r="BP1" t="e">
        <f ca="1">_xll.RiskCDS1([0]!SummerCropYield,[0]!SummerCropYield,Sheet2!A1)</f>
        <v>#NAME?</v>
      </c>
      <c r="BQ1" t="e">
        <f ca="1">_xll.RiskCDS2(Sheet2!BP1,7,)</f>
        <v>#NAME?</v>
      </c>
      <c r="BR1" t="e">
        <f ca="1">_xll.RiskCDS1([0]!WinterCropYields,[0]!WinterCropYields,Sheet2!A1)</f>
        <v>#NAME?</v>
      </c>
      <c r="BS1" t="e">
        <f ca="1">_xll.RiskCDS2(Sheet2!BR1,7,)</f>
        <v>#NAME?</v>
      </c>
      <c r="BT1" t="e">
        <f ca="1">_xll.RiskCDS1([0]!pricecorrelation,[0]!pricecorrelation,Sheet2!A1)</f>
        <v>#NAME?</v>
      </c>
      <c r="BU1" t="e">
        <f ca="1">_xll.RiskCDS2(Sheet2!BT1,13,)</f>
        <v>#NAME?</v>
      </c>
      <c r="BV1" t="e">
        <f ca="1">_xll.RiskCDS2(Sheet2!BT1,14,)</f>
        <v>#NAME?</v>
      </c>
      <c r="BW1" t="e">
        <f ca="1">_xll.RiskCDS1([0]!Activity7animalproductivity,[0]!Activity7animalproductivity,Sheet2!A1)</f>
        <v>#NAME?</v>
      </c>
      <c r="BX1" t="e">
        <f ca="1">_xll.RiskCDS2(Sheet2!BW1,1,)</f>
        <v>#NAME?</v>
      </c>
      <c r="BY1" t="e">
        <f ca="1">_xll.RiskCDS2(Sheet2!BW1,2,)</f>
        <v>#NAME?</v>
      </c>
      <c r="BZ1" t="e">
        <f ca="1">_xll.RiskCDS2(Sheet2!BW1,3,)</f>
        <v>#NAME?</v>
      </c>
      <c r="CA1" t="e">
        <f ca="1">_xll.RiskCDS1([0]!SummerCropYield,[0]!SummerCropYield,Sheet2!A1)</f>
        <v>#NAME?</v>
      </c>
      <c r="CB1" t="e">
        <f ca="1">_xll.RiskCDS2(Sheet2!CA1,8,)</f>
        <v>#NAME?</v>
      </c>
      <c r="CC1" t="e">
        <f ca="1">_xll.RiskCDS1([0]!WinterCropYields,[0]!WinterCropYields,Sheet2!A1)</f>
        <v>#NAME?</v>
      </c>
      <c r="CD1" t="e">
        <f ca="1">_xll.RiskCDS2(Sheet2!CC1,8,)</f>
        <v>#NAME?</v>
      </c>
      <c r="CE1" t="e">
        <f ca="1">_xll.RiskCDS1([0]!pricecorrelation,[0]!pricecorrelation,Sheet2!A1)</f>
        <v>#NAME?</v>
      </c>
      <c r="CF1" t="e">
        <f ca="1">_xll.RiskCDS2(Sheet2!CE1,15,)</f>
        <v>#NAME?</v>
      </c>
      <c r="CG1" t="e">
        <f ca="1">_xll.RiskCDS2(Sheet2!CE1,16,)</f>
        <v>#NAME?</v>
      </c>
      <c r="CH1" t="e">
        <f ca="1">_xll.RiskCDS1([0]!Activity8animalproductivity,[0]!Activity8animalproductivity,Sheet2!A1)</f>
        <v>#NAME?</v>
      </c>
      <c r="CI1" t="e">
        <f ca="1">_xll.RiskCDS2(Sheet2!CH1,1,)</f>
        <v>#NAME?</v>
      </c>
      <c r="CJ1" t="e">
        <f ca="1">_xll.RiskCDS2(Sheet2!CH1,2,)</f>
        <v>#NAME?</v>
      </c>
      <c r="CK1" t="e">
        <f ca="1">_xll.RiskCDS2(Sheet2!CH1,3,)</f>
        <v>#NAME?</v>
      </c>
      <c r="CL1" t="e">
        <f ca="1">_xll.RiskCDS1([0]!SummerCropYield,[0]!SummerCropYield,Sheet2!A1)</f>
        <v>#NAME?</v>
      </c>
      <c r="CM1" t="e">
        <f ca="1">_xll.RiskCDS2(Sheet2!CL1,9,)</f>
        <v>#NAME?</v>
      </c>
      <c r="CN1" t="e">
        <f ca="1">_xll.RiskCDS1([0]!WinterCropYields,[0]!WinterCropYields,Sheet2!A1)</f>
        <v>#NAME?</v>
      </c>
      <c r="CO1" t="e">
        <f ca="1">_xll.RiskCDS2(Sheet2!CN1,9,)</f>
        <v>#NAME?</v>
      </c>
      <c r="CP1" t="e">
        <f ca="1">_xll.RiskCDS1([0]!pricecorrelation,[0]!pricecorrelation,Sheet2!A1)</f>
        <v>#NAME?</v>
      </c>
      <c r="CQ1" t="e">
        <f ca="1">_xll.RiskCDS2(Sheet2!CP1,17,)</f>
        <v>#NAME?</v>
      </c>
      <c r="CR1" t="e">
        <f ca="1">_xll.RiskCDS2(Sheet2!CP1,18,)</f>
        <v>#NAME?</v>
      </c>
      <c r="CS1" t="e">
        <f ca="1">_xll.RiskCDS1([0]!Activity9animalproductivity,[0]!Activity9animalproductivity,Sheet2!A1)</f>
        <v>#NAME?</v>
      </c>
      <c r="CT1" t="e">
        <f ca="1">_xll.RiskCDS2(Sheet2!CS1,1,)</f>
        <v>#NAME?</v>
      </c>
      <c r="CU1" t="e">
        <f ca="1">_xll.RiskCDS2(Sheet2!CS1,2,)</f>
        <v>#NAME?</v>
      </c>
      <c r="CV1" t="e">
        <f ca="1">_xll.RiskCDS2(Sheet2!CS1,3,)</f>
        <v>#NAME?</v>
      </c>
      <c r="CW1" t="e">
        <f ca="1">_xll.RiskCDS1([0]!SummerCropYield,[0]!SummerCropYield,Sheet2!A1)</f>
        <v>#NAME?</v>
      </c>
      <c r="CX1" t="e">
        <f ca="1">_xll.RiskCDS2(Sheet2!CW1,10,)</f>
        <v>#NAME?</v>
      </c>
      <c r="CY1" t="e">
        <f ca="1">_xll.RiskCDS1([0]!WinterCropYields,[0]!WinterCropYields,Sheet2!A1)</f>
        <v>#NAME?</v>
      </c>
      <c r="CZ1" t="e">
        <f ca="1">_xll.RiskCDS2(Sheet2!CY1,10,)</f>
        <v>#NAME?</v>
      </c>
      <c r="DA1" t="e">
        <f ca="1">_xll.RiskCDS1([0]!pricecorrelation,[0]!pricecorrelation,Sheet2!A1)</f>
        <v>#NAME?</v>
      </c>
      <c r="DB1" t="e">
        <f ca="1">_xll.RiskCDS2(Sheet2!DA1,19,)</f>
        <v>#NAME?</v>
      </c>
      <c r="DC1" t="e">
        <f ca="1">_xll.RiskCDS2(Sheet2!DA1,20,)</f>
        <v>#NAME?</v>
      </c>
      <c r="DD1" t="e">
        <f ca="1">_xll.RiskCDS1([0]!Activity10animalproductivity,[0]!Activity10animalproductivity,Sheet2!A1)</f>
        <v>#NAME?</v>
      </c>
      <c r="DE1" t="e">
        <f ca="1">_xll.RiskCDS2(Sheet2!DD1,1,)</f>
        <v>#NAME?</v>
      </c>
      <c r="DF1" t="e">
        <f ca="1">_xll.RiskCDS2(Sheet2!DD1,2,)</f>
        <v>#NAME?</v>
      </c>
      <c r="DG1" t="e">
        <f ca="1">_xll.RiskCDS2(Sheet2!DD1,3,)</f>
        <v>#NAME?</v>
      </c>
      <c r="DH1" t="e">
        <v>#VALUE!</v>
      </c>
      <c r="DI1" t="e">
        <f ca="1">_xll.RiskCDS2(Sheet2!DH1,1,)</f>
        <v>#NAME?</v>
      </c>
      <c r="DJ1" t="e">
        <v>#VALUE!</v>
      </c>
      <c r="DK1" t="e">
        <f ca="1">_xll.RiskCDS2(Sheet2!DJ1,1,)</f>
        <v>#NAME?</v>
      </c>
      <c r="DL1" t="e">
        <v>#VALUE!</v>
      </c>
      <c r="DM1" t="e">
        <f ca="1">_xll.RiskCDS2(Sheet2!DL1,1,)</f>
        <v>#NAME?</v>
      </c>
      <c r="DN1" t="e">
        <f ca="1">_xll.RiskCDS2(Sheet2!DL1,2,)</f>
        <v>#NAME?</v>
      </c>
      <c r="DO1" t="e">
        <f ca="1">_xll.RiskCDS2(Sheet2!DL1,3,)</f>
        <v>#NAME?</v>
      </c>
      <c r="DP1" t="e">
        <v>#VALUE!</v>
      </c>
      <c r="DQ1" t="e">
        <f ca="1">_xll.RiskCDS2(Sheet2!DP1,2,)</f>
        <v>#NAME?</v>
      </c>
      <c r="DR1" t="e">
        <v>#VALUE!</v>
      </c>
      <c r="DS1" t="e">
        <f ca="1">_xll.RiskCDS2(Sheet2!DR1,2,)</f>
        <v>#NAME?</v>
      </c>
      <c r="DT1" t="e">
        <v>#VALUE!</v>
      </c>
      <c r="DU1" t="e">
        <f ca="1">_xll.RiskCDS2(Sheet2!DT1,1,)</f>
        <v>#NAME?</v>
      </c>
      <c r="DV1" t="e">
        <f ca="1">_xll.RiskCDS2(Sheet2!DT1,2,)</f>
        <v>#NAME?</v>
      </c>
      <c r="DW1" t="e">
        <f ca="1">_xll.RiskCDS2(Sheet2!DT1,3,)</f>
        <v>#NAME?</v>
      </c>
      <c r="DX1" t="e">
        <v>#VALUE!</v>
      </c>
      <c r="DY1" t="e">
        <f ca="1">_xll.RiskCDS2(Sheet2!DX1,3,)</f>
        <v>#NAME?</v>
      </c>
      <c r="DZ1" t="e">
        <v>#VALUE!</v>
      </c>
      <c r="EA1" t="e">
        <f ca="1">_xll.RiskCDS2(Sheet2!DZ1,3,)</f>
        <v>#NAME?</v>
      </c>
      <c r="EB1" t="e">
        <v>#VALUE!</v>
      </c>
      <c r="EC1" t="e">
        <f ca="1">_xll.RiskCDS2(Sheet2!EB1,1,)</f>
        <v>#NAME?</v>
      </c>
      <c r="ED1" t="e">
        <f ca="1">_xll.RiskCDS2(Sheet2!EB1,2,)</f>
        <v>#NAME?</v>
      </c>
      <c r="EE1" t="e">
        <f ca="1">_xll.RiskCDS2(Sheet2!EB1,3,)</f>
        <v>#NAME?</v>
      </c>
      <c r="EF1" t="e">
        <v>#VALUE!</v>
      </c>
      <c r="EG1" t="e">
        <f ca="1">_xll.RiskCDS2(Sheet2!EF1,4,)</f>
        <v>#NAME?</v>
      </c>
      <c r="EH1" t="e">
        <v>#VALUE!</v>
      </c>
      <c r="EI1" t="e">
        <f ca="1">_xll.RiskCDS2(Sheet2!EH1,4,)</f>
        <v>#NAME?</v>
      </c>
      <c r="EJ1" t="e">
        <v>#VALUE!</v>
      </c>
      <c r="EK1" t="e">
        <f ca="1">_xll.RiskCDS2(Sheet2!EJ1,1,)</f>
        <v>#NAME?</v>
      </c>
      <c r="EL1" t="e">
        <f ca="1">_xll.RiskCDS2(Sheet2!EJ1,2,)</f>
        <v>#NAME?</v>
      </c>
      <c r="EM1" t="e">
        <f ca="1">_xll.RiskCDS2(Sheet2!EJ1,3,)</f>
        <v>#NAME?</v>
      </c>
      <c r="EN1" t="e">
        <v>#VALUE!</v>
      </c>
      <c r="EO1" t="e">
        <f ca="1">_xll.RiskCDS2(Sheet2!EN1,5,)</f>
        <v>#NAME?</v>
      </c>
      <c r="EP1" t="e">
        <v>#VALUE!</v>
      </c>
      <c r="EQ1" t="e">
        <f ca="1">_xll.RiskCDS2(Sheet2!EP1,5,)</f>
        <v>#NAME?</v>
      </c>
      <c r="ER1" t="e">
        <v>#VALUE!</v>
      </c>
      <c r="ES1" t="e">
        <f ca="1">_xll.RiskCDS2(Sheet2!ER1,1,)</f>
        <v>#NAME?</v>
      </c>
      <c r="ET1" t="e">
        <f ca="1">_xll.RiskCDS2(Sheet2!ER1,2,)</f>
        <v>#NAME?</v>
      </c>
      <c r="EU1" t="e">
        <f ca="1">_xll.RiskCDS2(Sheet2!ER1,3,)</f>
        <v>#NAME?</v>
      </c>
      <c r="EV1" t="e">
        <v>#VALUE!</v>
      </c>
      <c r="EW1" t="e">
        <f ca="1">_xll.RiskCDS2(Sheet2!EV1,6,)</f>
        <v>#NAME?</v>
      </c>
      <c r="EX1" t="e">
        <v>#VALUE!</v>
      </c>
      <c r="EY1" t="e">
        <f ca="1">_xll.RiskCDS2(Sheet2!EX1,6,)</f>
        <v>#NAME?</v>
      </c>
      <c r="EZ1" t="e">
        <v>#VALUE!</v>
      </c>
      <c r="FA1" t="e">
        <f ca="1">_xll.RiskCDS2(Sheet2!EZ1,1,)</f>
        <v>#NAME?</v>
      </c>
      <c r="FB1" t="e">
        <f ca="1">_xll.RiskCDS2(Sheet2!EZ1,2,)</f>
        <v>#NAME?</v>
      </c>
      <c r="FC1" t="e">
        <f ca="1">_xll.RiskCDS2(Sheet2!EZ1,3,)</f>
        <v>#NAME?</v>
      </c>
      <c r="FD1" t="e">
        <v>#VALUE!</v>
      </c>
      <c r="FE1" t="e">
        <f ca="1">_xll.RiskCDS2(Sheet2!FD1,7,)</f>
        <v>#NAME?</v>
      </c>
      <c r="FF1" t="e">
        <v>#VALUE!</v>
      </c>
      <c r="FG1" t="e">
        <f ca="1">_xll.RiskCDS2(Sheet2!FF1,7,)</f>
        <v>#NAME?</v>
      </c>
      <c r="FH1" t="e">
        <v>#VALUE!</v>
      </c>
      <c r="FI1" t="e">
        <f ca="1">_xll.RiskCDS2(Sheet2!FH1,1,)</f>
        <v>#NAME?</v>
      </c>
      <c r="FJ1" t="e">
        <f ca="1">_xll.RiskCDS2(Sheet2!FH1,2,)</f>
        <v>#NAME?</v>
      </c>
      <c r="FK1" t="e">
        <f ca="1">_xll.RiskCDS2(Sheet2!FH1,3,)</f>
        <v>#NAME?</v>
      </c>
      <c r="FL1" t="e">
        <v>#VALUE!</v>
      </c>
      <c r="FM1" t="e">
        <f ca="1">_xll.RiskCDS2(Sheet2!FL1,8,)</f>
        <v>#NAME?</v>
      </c>
      <c r="FN1" t="e">
        <v>#VALUE!</v>
      </c>
      <c r="FO1" t="e">
        <f ca="1">_xll.RiskCDS2(Sheet2!FN1,8,)</f>
        <v>#NAME?</v>
      </c>
      <c r="FP1" t="e">
        <v>#VALUE!</v>
      </c>
      <c r="FQ1" t="e">
        <f ca="1">_xll.RiskCDS2(Sheet2!FP1,1,)</f>
        <v>#NAME?</v>
      </c>
      <c r="FR1" t="e">
        <f ca="1">_xll.RiskCDS2(Sheet2!FP1,2,)</f>
        <v>#NAME?</v>
      </c>
      <c r="FS1" t="e">
        <f ca="1">_xll.RiskCDS2(Sheet2!FP1,3,)</f>
        <v>#NAME?</v>
      </c>
      <c r="FT1" t="e">
        <v>#VALUE!</v>
      </c>
      <c r="FU1" t="e">
        <f ca="1">_xll.RiskCDS2(Sheet2!FT1,9,)</f>
        <v>#NAME?</v>
      </c>
      <c r="FV1" t="e">
        <v>#VALUE!</v>
      </c>
      <c r="FW1" t="e">
        <f ca="1">_xll.RiskCDS2(Sheet2!FV1,9,)</f>
        <v>#NAME?</v>
      </c>
      <c r="FX1" t="e">
        <v>#VALUE!</v>
      </c>
      <c r="FY1" t="e">
        <f ca="1">_xll.RiskCDS2(Sheet2!FX1,1,)</f>
        <v>#NAME?</v>
      </c>
      <c r="FZ1" t="e">
        <f ca="1">_xll.RiskCDS2(Sheet2!FX1,2,)</f>
        <v>#NAME?</v>
      </c>
      <c r="GA1" t="e">
        <f ca="1">_xll.RiskCDS2(Sheet2!FX1,3,)</f>
        <v>#NAME?</v>
      </c>
      <c r="GB1" t="e">
        <v>#VALUE!</v>
      </c>
      <c r="GC1" t="e">
        <f ca="1">_xll.RiskCDS2(Sheet2!GB1,10,)</f>
        <v>#NAME?</v>
      </c>
      <c r="GD1" t="e">
        <v>#VALUE!</v>
      </c>
      <c r="GE1" t="e">
        <f ca="1">_xll.RiskCDS2(Sheet2!GD1,10,)</f>
        <v>#NAME?</v>
      </c>
      <c r="GF1" t="e">
        <v>#VALUE!</v>
      </c>
      <c r="GG1" t="e">
        <f ca="1">_xll.RiskCDS2(Sheet2!GF1,1,)</f>
        <v>#NAME?</v>
      </c>
      <c r="GH1" t="e">
        <f ca="1">_xll.RiskCDS2(Sheet2!GF1,2,)</f>
        <v>#NAME?</v>
      </c>
      <c r="GI1" t="e">
        <f ca="1">_xll.RiskCDS2(Sheet2!GF1,3,)</f>
        <v>#NAME?</v>
      </c>
      <c r="GJ1" t="e">
        <v>#VALUE!</v>
      </c>
      <c r="GK1" t="e">
        <f ca="1">_xll.RiskCDS2(Sheet2!GJ1,1,)</f>
        <v>#NAME?</v>
      </c>
      <c r="GL1" t="e">
        <v>#VALUE!</v>
      </c>
      <c r="GM1" t="e">
        <f ca="1">_xll.RiskCDS2(Sheet2!GL1,1,)</f>
        <v>#NAME?</v>
      </c>
      <c r="GN1" t="e">
        <v>#VALUE!</v>
      </c>
      <c r="GO1" t="e">
        <f ca="1">_xll.RiskCDS2(Sheet2!GN1,2,)</f>
        <v>#NAME?</v>
      </c>
      <c r="GP1" t="e">
        <v>#VALUE!</v>
      </c>
      <c r="GQ1" t="e">
        <f ca="1">_xll.RiskCDS2(Sheet2!GP1,2,)</f>
        <v>#NAME?</v>
      </c>
      <c r="GR1" t="e">
        <v>#VALUE!</v>
      </c>
      <c r="GS1" t="e">
        <f ca="1">_xll.RiskCDS2(Sheet2!GR1,3,)</f>
        <v>#NAME?</v>
      </c>
      <c r="GT1" t="e">
        <v>#VALUE!</v>
      </c>
      <c r="GU1" t="e">
        <f ca="1">_xll.RiskCDS2(Sheet2!GT1,3,)</f>
        <v>#NAME?</v>
      </c>
      <c r="GV1" t="e">
        <v>#VALUE!</v>
      </c>
      <c r="GW1" t="e">
        <f ca="1">_xll.RiskCDS2(Sheet2!GV1,4,)</f>
        <v>#NAME?</v>
      </c>
      <c r="GX1" t="e">
        <v>#VALUE!</v>
      </c>
      <c r="GY1" t="e">
        <f ca="1">_xll.RiskCDS2(Sheet2!GX1,4,)</f>
        <v>#NAME?</v>
      </c>
      <c r="GZ1" t="e">
        <v>#VALUE!</v>
      </c>
      <c r="HA1" t="e">
        <f ca="1">_xll.RiskCDS2(Sheet2!GZ1,5,)</f>
        <v>#NAME?</v>
      </c>
      <c r="HB1" t="e">
        <v>#VALUE!</v>
      </c>
      <c r="HC1" t="e">
        <f ca="1">_xll.RiskCDS2(Sheet2!HB1,5,)</f>
        <v>#NAME?</v>
      </c>
      <c r="HD1" t="e">
        <v>#VALUE!</v>
      </c>
      <c r="HE1" t="e">
        <f ca="1">_xll.RiskCDS2(Sheet2!HD1,6,)</f>
        <v>#NAME?</v>
      </c>
      <c r="HF1" t="e">
        <v>#VALUE!</v>
      </c>
      <c r="HG1" t="e">
        <f ca="1">_xll.RiskCDS2(Sheet2!HF1,6,)</f>
        <v>#NAME?</v>
      </c>
      <c r="HH1" t="e">
        <v>#VALUE!</v>
      </c>
      <c r="HI1" t="e">
        <f ca="1">_xll.RiskCDS2(Sheet2!HH1,7,)</f>
        <v>#NAME?</v>
      </c>
      <c r="HJ1" t="e">
        <v>#VALUE!</v>
      </c>
      <c r="HK1" t="e">
        <f ca="1">_xll.RiskCDS2(Sheet2!HJ1,7,)</f>
        <v>#NAME?</v>
      </c>
      <c r="HL1" t="e">
        <v>#VALUE!</v>
      </c>
      <c r="HM1" t="e">
        <f ca="1">_xll.RiskCDS2(Sheet2!HL1,8,)</f>
        <v>#NAME?</v>
      </c>
      <c r="HN1" t="e">
        <v>#VALUE!</v>
      </c>
      <c r="HO1" t="e">
        <f ca="1">_xll.RiskCDS2(Sheet2!HN1,8,)</f>
        <v>#NAME?</v>
      </c>
      <c r="HP1" t="e">
        <v>#VALUE!</v>
      </c>
      <c r="HQ1" t="e">
        <f ca="1">_xll.RiskCDS2(Sheet2!HP1,9,)</f>
        <v>#NAME?</v>
      </c>
      <c r="HR1" t="e">
        <v>#VALUE!</v>
      </c>
      <c r="HS1" t="e">
        <f ca="1">_xll.RiskCDS2(Sheet2!HR1,9,)</f>
        <v>#NAME?</v>
      </c>
      <c r="HT1" t="e">
        <v>#VALUE!</v>
      </c>
      <c r="HU1" t="e">
        <f ca="1">_xll.RiskCDS2(Sheet2!HT1,10,)</f>
        <v>#NAME?</v>
      </c>
      <c r="HV1" t="e">
        <v>#VALUE!</v>
      </c>
      <c r="HW1" t="e">
        <f ca="1">_xll.RiskCDS2(Sheet2!HV1,10,)</f>
        <v>#NAME?</v>
      </c>
    </row>
  </sheetData>
  <phoneticPr fontId="0" type="noConversion"/>
  <pageMargins left="0.75" right="0.75" top="1" bottom="1" header="0.5" footer="0.5"/>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dimension ref="A1:HM1"/>
  <sheetViews>
    <sheetView workbookViewId="0"/>
  </sheetViews>
  <sheetFormatPr defaultRowHeight="15" x14ac:dyDescent="0.2"/>
  <sheetData>
    <row r="1" spans="1:221" x14ac:dyDescent="0.2">
      <c r="A1">
        <f>1</f>
        <v>1</v>
      </c>
      <c r="B1" t="e">
        <f ca="1">_xll.RiskCDS1([0]!SummerCropYield,[0]!SummerCropYield,Sheet1!A1)</f>
        <v>#NAME?</v>
      </c>
      <c r="C1" t="e">
        <f ca="1">_xll.RiskCDS2(Sheet1!B1,1,)</f>
        <v>#NAME?</v>
      </c>
      <c r="D1" t="e">
        <f ca="1">_xll.RiskCDS1([0]!WinterCropYields,[0]!WinterCropYields,Sheet1!A1)</f>
        <v>#NAME?</v>
      </c>
      <c r="E1" t="e">
        <f ca="1">_xll.RiskCDS2(Sheet1!D1,1,)</f>
        <v>#NAME?</v>
      </c>
      <c r="F1" t="e">
        <f ca="1">_xll.RiskCDS1([0]!pricecorrelation,[0]!pricecorrelation,Sheet1!A1)</f>
        <v>#NAME?</v>
      </c>
      <c r="G1" t="e">
        <f ca="1">_xll.RiskCDS2(Sheet1!F1,1,)</f>
        <v>#NAME?</v>
      </c>
      <c r="H1" t="e">
        <f ca="1">_xll.RiskCDS2(Sheet1!F1,2,)</f>
        <v>#NAME?</v>
      </c>
      <c r="I1" t="e">
        <f ca="1">_xll.RiskCDS1([0]!Activity1animalproductivity,[0]!Activity1animalproductivity,Sheet1!A1)</f>
        <v>#NAME?</v>
      </c>
      <c r="J1" t="e">
        <f ca="1">_xll.RiskCDS2(Sheet1!I1,1,)</f>
        <v>#NAME?</v>
      </c>
      <c r="K1" t="e">
        <f ca="1">_xll.RiskCDS2(Sheet1!I1,2,)</f>
        <v>#NAME?</v>
      </c>
      <c r="L1" t="e">
        <f ca="1">_xll.RiskCDS2(Sheet1!I1,3,)</f>
        <v>#NAME?</v>
      </c>
      <c r="M1" t="e">
        <f ca="1">_xll.RiskCDS1([0]!SummerCropYield,[0]!SummerCropYield,Sheet1!A1)</f>
        <v>#NAME?</v>
      </c>
      <c r="N1" t="e">
        <f ca="1">_xll.RiskCDS2(Sheet1!M1,2,)</f>
        <v>#NAME?</v>
      </c>
      <c r="O1" t="e">
        <f ca="1">_xll.RiskCDS1([0]!WinterCropYields,[0]!WinterCropYields,Sheet1!A1)</f>
        <v>#NAME?</v>
      </c>
      <c r="P1" t="e">
        <f ca="1">_xll.RiskCDS2(Sheet1!O1,2,)</f>
        <v>#NAME?</v>
      </c>
      <c r="Q1" t="e">
        <f ca="1">_xll.RiskCDS1([0]!pricecorrelation,[0]!pricecorrelation,Sheet1!A1)</f>
        <v>#NAME?</v>
      </c>
      <c r="R1" t="e">
        <f ca="1">_xll.RiskCDS2(Sheet1!Q1,3,)</f>
        <v>#NAME?</v>
      </c>
      <c r="S1" t="e">
        <f ca="1">_xll.RiskCDS2(Sheet1!Q1,4,)</f>
        <v>#NAME?</v>
      </c>
      <c r="T1" t="e">
        <f ca="1">_xll.RiskCDS1([0]!Activity2animalproductivity,[0]!Activity2animalproductivity,Sheet1!A1)</f>
        <v>#NAME?</v>
      </c>
      <c r="U1" t="e">
        <f ca="1">_xll.RiskCDS2(Sheet1!T1,1,)</f>
        <v>#NAME?</v>
      </c>
      <c r="V1" t="e">
        <f ca="1">_xll.RiskCDS2(Sheet1!T1,2,)</f>
        <v>#NAME?</v>
      </c>
      <c r="W1" t="e">
        <f ca="1">_xll.RiskCDS2(Sheet1!T1,3,)</f>
        <v>#NAME?</v>
      </c>
      <c r="X1" t="e">
        <f ca="1">_xll.RiskCDS1([0]!SummerCropYield,[0]!SummerCropYield,Sheet1!A1)</f>
        <v>#NAME?</v>
      </c>
      <c r="Y1" t="e">
        <f ca="1">_xll.RiskCDS2(Sheet1!X1,3,)</f>
        <v>#NAME?</v>
      </c>
      <c r="Z1" t="e">
        <f ca="1">_xll.RiskCDS1([0]!WinterCropYields,[0]!WinterCropYields,Sheet1!A1)</f>
        <v>#NAME?</v>
      </c>
      <c r="AA1" t="e">
        <f ca="1">_xll.RiskCDS2(Sheet1!Z1,3,)</f>
        <v>#NAME?</v>
      </c>
      <c r="AB1" t="e">
        <f ca="1">_xll.RiskCDS1([0]!pricecorrelation,[0]!pricecorrelation,Sheet1!A1)</f>
        <v>#NAME?</v>
      </c>
      <c r="AC1" t="e">
        <f ca="1">_xll.RiskCDS2(Sheet1!AB1,5,)</f>
        <v>#NAME?</v>
      </c>
      <c r="AD1" t="e">
        <f ca="1">_xll.RiskCDS2(Sheet1!AB1,6,)</f>
        <v>#NAME?</v>
      </c>
      <c r="AE1" t="e">
        <f ca="1">_xll.RiskCDS1([0]!Activity3animalproductivity,[0]!Activity3animalproductivity,Sheet1!A1)</f>
        <v>#NAME?</v>
      </c>
      <c r="AF1" t="e">
        <f ca="1">_xll.RiskCDS2(Sheet1!AE1,1,)</f>
        <v>#NAME?</v>
      </c>
      <c r="AG1" t="e">
        <f ca="1">_xll.RiskCDS2(Sheet1!AE1,2,)</f>
        <v>#NAME?</v>
      </c>
      <c r="AH1" t="e">
        <f ca="1">_xll.RiskCDS2(Sheet1!AE1,3,)</f>
        <v>#NAME?</v>
      </c>
      <c r="AI1" t="e">
        <f ca="1">_xll.RiskCDS1([0]!SummerCropYield,[0]!SummerCropYield,Sheet1!A1)</f>
        <v>#NAME?</v>
      </c>
      <c r="AJ1" t="e">
        <f ca="1">_xll.RiskCDS2(Sheet1!AI1,4,)</f>
        <v>#NAME?</v>
      </c>
      <c r="AK1" t="e">
        <f ca="1">_xll.RiskCDS1([0]!WinterCropYields,[0]!WinterCropYields,Sheet1!A1)</f>
        <v>#NAME?</v>
      </c>
      <c r="AL1" t="e">
        <f ca="1">_xll.RiskCDS2(Sheet1!AK1,4,)</f>
        <v>#NAME?</v>
      </c>
      <c r="AM1" t="e">
        <f ca="1">_xll.RiskCDS1([0]!pricecorrelation,[0]!pricecorrelation,Sheet1!A1)</f>
        <v>#NAME?</v>
      </c>
      <c r="AN1" t="e">
        <f ca="1">_xll.RiskCDS2(Sheet1!AM1,7,)</f>
        <v>#NAME?</v>
      </c>
      <c r="AO1" t="e">
        <f ca="1">_xll.RiskCDS2(Sheet1!AM1,8,)</f>
        <v>#NAME?</v>
      </c>
      <c r="AP1" t="e">
        <f ca="1">_xll.RiskCDS1([0]!Activity4animalproductivity,[0]!Activity4animalproductivity,Sheet1!A1)</f>
        <v>#NAME?</v>
      </c>
      <c r="AQ1" t="e">
        <f ca="1">_xll.RiskCDS2(Sheet1!AP1,1,)</f>
        <v>#NAME?</v>
      </c>
      <c r="AR1" t="e">
        <f ca="1">_xll.RiskCDS2(Sheet1!AP1,2,)</f>
        <v>#NAME?</v>
      </c>
      <c r="AS1" t="e">
        <f ca="1">_xll.RiskCDS2(Sheet1!AP1,3,)</f>
        <v>#NAME?</v>
      </c>
      <c r="AT1" t="e">
        <f ca="1">_xll.RiskCDS1([0]!SummerCropYield,[0]!SummerCropYield,Sheet1!A1)</f>
        <v>#NAME?</v>
      </c>
      <c r="AU1" t="e">
        <f ca="1">_xll.RiskCDS2(Sheet1!AT1,5,)</f>
        <v>#NAME?</v>
      </c>
      <c r="AV1" t="e">
        <f ca="1">_xll.RiskCDS1([0]!WinterCropYields,[0]!WinterCropYields,Sheet1!A1)</f>
        <v>#NAME?</v>
      </c>
      <c r="AW1" t="e">
        <f ca="1">_xll.RiskCDS2(Sheet1!AV1,5,)</f>
        <v>#NAME?</v>
      </c>
      <c r="AX1" t="e">
        <f ca="1">_xll.RiskCDS1([0]!pricecorrelation,[0]!pricecorrelation,Sheet1!A1)</f>
        <v>#NAME?</v>
      </c>
      <c r="AY1" t="e">
        <f ca="1">_xll.RiskCDS2(Sheet1!AX1,9,)</f>
        <v>#NAME?</v>
      </c>
      <c r="AZ1" t="e">
        <f ca="1">_xll.RiskCDS2(Sheet1!AX1,10,)</f>
        <v>#NAME?</v>
      </c>
      <c r="BA1" t="e">
        <f ca="1">_xll.RiskCDS1([0]!Activity5animalproductivity,[0]!Activity5animalproductivity,Sheet1!A1)</f>
        <v>#NAME?</v>
      </c>
      <c r="BB1" t="e">
        <f ca="1">_xll.RiskCDS2(Sheet1!BA1,1,)</f>
        <v>#NAME?</v>
      </c>
      <c r="BC1" t="e">
        <f ca="1">_xll.RiskCDS2(Sheet1!BA1,2,)</f>
        <v>#NAME?</v>
      </c>
      <c r="BD1" t="e">
        <f ca="1">_xll.RiskCDS2(Sheet1!BA1,3,)</f>
        <v>#NAME?</v>
      </c>
      <c r="BE1" t="e">
        <f ca="1">_xll.RiskCDS1([0]!SummerCropYield,[0]!SummerCropYield,Sheet1!A1)</f>
        <v>#NAME?</v>
      </c>
      <c r="BF1" t="e">
        <f ca="1">_xll.RiskCDS2(Sheet1!BE1,6,)</f>
        <v>#NAME?</v>
      </c>
      <c r="BG1" t="e">
        <f ca="1">_xll.RiskCDS1([0]!WinterCropYields,[0]!WinterCropYields,Sheet1!A1)</f>
        <v>#NAME?</v>
      </c>
      <c r="BH1" t="e">
        <f ca="1">_xll.RiskCDS2(Sheet1!BG1,6,)</f>
        <v>#NAME?</v>
      </c>
      <c r="BI1" t="e">
        <f ca="1">_xll.RiskCDS1([0]!pricecorrelation,[0]!pricecorrelation,Sheet1!A1)</f>
        <v>#NAME?</v>
      </c>
      <c r="BJ1" t="e">
        <f ca="1">_xll.RiskCDS2(Sheet1!BI1,11,)</f>
        <v>#NAME?</v>
      </c>
      <c r="BK1" t="e">
        <f ca="1">_xll.RiskCDS2(Sheet1!BI1,12,)</f>
        <v>#NAME?</v>
      </c>
      <c r="BL1" t="e">
        <f ca="1">_xll.RiskCDS1([0]!Activity6animalproductivity,[0]!Activity6animalproductivity,Sheet1!A1)</f>
        <v>#NAME?</v>
      </c>
      <c r="BM1" t="e">
        <f ca="1">_xll.RiskCDS2(Sheet1!BL1,1,)</f>
        <v>#NAME?</v>
      </c>
      <c r="BN1" t="e">
        <f ca="1">_xll.RiskCDS2(Sheet1!BL1,2,)</f>
        <v>#NAME?</v>
      </c>
      <c r="BO1" t="e">
        <f ca="1">_xll.RiskCDS2(Sheet1!BL1,3,)</f>
        <v>#NAME?</v>
      </c>
      <c r="BP1" t="e">
        <f ca="1">_xll.RiskCDS1([0]!SummerCropYield,[0]!SummerCropYield,Sheet1!A1)</f>
        <v>#NAME?</v>
      </c>
      <c r="BQ1" t="e">
        <f ca="1">_xll.RiskCDS2(Sheet1!BP1,7,)</f>
        <v>#NAME?</v>
      </c>
      <c r="BR1" t="e">
        <f ca="1">_xll.RiskCDS1([0]!WinterCropYields,[0]!WinterCropYields,Sheet1!A1)</f>
        <v>#NAME?</v>
      </c>
      <c r="BS1" t="e">
        <f ca="1">_xll.RiskCDS2(Sheet1!BR1,7,)</f>
        <v>#NAME?</v>
      </c>
      <c r="BT1" t="e">
        <f ca="1">_xll.RiskCDS1([0]!pricecorrelation,[0]!pricecorrelation,Sheet1!A1)</f>
        <v>#NAME?</v>
      </c>
      <c r="BU1" t="e">
        <f ca="1">_xll.RiskCDS2(Sheet1!BT1,13,)</f>
        <v>#NAME?</v>
      </c>
      <c r="BV1" t="e">
        <f ca="1">_xll.RiskCDS2(Sheet1!BT1,14,)</f>
        <v>#NAME?</v>
      </c>
      <c r="BW1" t="e">
        <f ca="1">_xll.RiskCDS1([0]!Activity7animalproductivity,[0]!Activity7animalproductivity,Sheet1!A1)</f>
        <v>#NAME?</v>
      </c>
      <c r="BX1" t="e">
        <f ca="1">_xll.RiskCDS2(Sheet1!BW1,1,)</f>
        <v>#NAME?</v>
      </c>
      <c r="BY1" t="e">
        <f ca="1">_xll.RiskCDS2(Sheet1!BW1,2,)</f>
        <v>#NAME?</v>
      </c>
      <c r="BZ1" t="e">
        <f ca="1">_xll.RiskCDS2(Sheet1!BW1,3,)</f>
        <v>#NAME?</v>
      </c>
      <c r="CA1" t="e">
        <f ca="1">_xll.RiskCDS1([0]!SummerCropYield,[0]!SummerCropYield,Sheet1!A1)</f>
        <v>#NAME?</v>
      </c>
      <c r="CB1" t="e">
        <f ca="1">_xll.RiskCDS2(Sheet1!CA1,8,)</f>
        <v>#NAME?</v>
      </c>
      <c r="CC1" t="e">
        <f ca="1">_xll.RiskCDS1([0]!WinterCropYields,[0]!WinterCropYields,Sheet1!A1)</f>
        <v>#NAME?</v>
      </c>
      <c r="CD1" t="e">
        <f ca="1">_xll.RiskCDS2(Sheet1!CC1,8,)</f>
        <v>#NAME?</v>
      </c>
      <c r="CE1" t="e">
        <f ca="1">_xll.RiskCDS1([0]!pricecorrelation,[0]!pricecorrelation,Sheet1!A1)</f>
        <v>#NAME?</v>
      </c>
      <c r="CF1" t="e">
        <f ca="1">_xll.RiskCDS2(Sheet1!CE1,15,)</f>
        <v>#NAME?</v>
      </c>
      <c r="CG1" t="e">
        <f ca="1">_xll.RiskCDS2(Sheet1!CE1,16,)</f>
        <v>#NAME?</v>
      </c>
      <c r="CH1" t="e">
        <f ca="1">_xll.RiskCDS1([0]!Activity8animalproductivity,[0]!Activity8animalproductivity,Sheet1!A1)</f>
        <v>#NAME?</v>
      </c>
      <c r="CI1" t="e">
        <f ca="1">_xll.RiskCDS2(Sheet1!CH1,1,)</f>
        <v>#NAME?</v>
      </c>
      <c r="CJ1" t="e">
        <f ca="1">_xll.RiskCDS2(Sheet1!CH1,2,)</f>
        <v>#NAME?</v>
      </c>
      <c r="CK1" t="e">
        <f ca="1">_xll.RiskCDS2(Sheet1!CH1,3,)</f>
        <v>#NAME?</v>
      </c>
      <c r="CL1" t="e">
        <f ca="1">_xll.RiskCDS1([0]!SummerCropYield,[0]!SummerCropYield,Sheet1!A1)</f>
        <v>#NAME?</v>
      </c>
      <c r="CM1" t="e">
        <f ca="1">_xll.RiskCDS2(Sheet1!CL1,9,)</f>
        <v>#NAME?</v>
      </c>
      <c r="CN1" t="e">
        <f ca="1">_xll.RiskCDS1([0]!WinterCropYields,[0]!WinterCropYields,Sheet1!A1)</f>
        <v>#NAME?</v>
      </c>
      <c r="CO1" t="e">
        <f ca="1">_xll.RiskCDS2(Sheet1!CN1,9,)</f>
        <v>#NAME?</v>
      </c>
      <c r="CP1" t="e">
        <f ca="1">_xll.RiskCDS1([0]!pricecorrelation,[0]!pricecorrelation,Sheet1!A1)</f>
        <v>#NAME?</v>
      </c>
      <c r="CQ1" t="e">
        <f ca="1">_xll.RiskCDS2(Sheet1!CP1,17,)</f>
        <v>#NAME?</v>
      </c>
      <c r="CR1" t="e">
        <f ca="1">_xll.RiskCDS2(Sheet1!CP1,18,)</f>
        <v>#NAME?</v>
      </c>
      <c r="CS1" t="e">
        <f ca="1">_xll.RiskCDS1([0]!Activity9animalproductivity,[0]!Activity9animalproductivity,Sheet1!A1)</f>
        <v>#NAME?</v>
      </c>
      <c r="CT1" t="e">
        <f ca="1">_xll.RiskCDS2(Sheet1!CS1,1,)</f>
        <v>#NAME?</v>
      </c>
      <c r="CU1" t="e">
        <f ca="1">_xll.RiskCDS2(Sheet1!CS1,2,)</f>
        <v>#NAME?</v>
      </c>
      <c r="CV1" t="e">
        <f ca="1">_xll.RiskCDS2(Sheet1!CS1,3,)</f>
        <v>#NAME?</v>
      </c>
      <c r="CW1" t="e">
        <f ca="1">_xll.RiskCDS1([0]!SummerCropYield,[0]!SummerCropYield,Sheet1!A1)</f>
        <v>#NAME?</v>
      </c>
      <c r="CX1" t="e">
        <f ca="1">_xll.RiskCDS2(Sheet1!CW1,10,)</f>
        <v>#NAME?</v>
      </c>
      <c r="CY1" t="e">
        <f ca="1">_xll.RiskCDS1([0]!WinterCropYields,[0]!WinterCropYields,Sheet1!A1)</f>
        <v>#NAME?</v>
      </c>
      <c r="CZ1" t="e">
        <f ca="1">_xll.RiskCDS2(Sheet1!CY1,10,)</f>
        <v>#NAME?</v>
      </c>
      <c r="DA1" t="e">
        <f ca="1">_xll.RiskCDS1([0]!pricecorrelation,[0]!pricecorrelation,Sheet1!A1)</f>
        <v>#NAME?</v>
      </c>
      <c r="DB1" t="e">
        <f ca="1">_xll.RiskCDS2(Sheet1!DA1,19,)</f>
        <v>#NAME?</v>
      </c>
      <c r="DC1" t="e">
        <f ca="1">_xll.RiskCDS2(Sheet1!DA1,20,)</f>
        <v>#NAME?</v>
      </c>
      <c r="DD1" t="e">
        <f ca="1">_xll.RiskCDS1([0]!Activity10animalproductivity,[0]!Activity10animalproductivity,Sheet1!A1)</f>
        <v>#NAME?</v>
      </c>
      <c r="DE1" t="e">
        <f ca="1">_xll.RiskCDS2(Sheet1!DD1,1,)</f>
        <v>#NAME?</v>
      </c>
      <c r="DF1" t="e">
        <f ca="1">_xll.RiskCDS2(Sheet1!DD1,2,)</f>
        <v>#NAME?</v>
      </c>
      <c r="DG1" t="e">
        <f ca="1">_xll.RiskCDS2(Sheet1!DD1,3,)</f>
        <v>#NAME?</v>
      </c>
      <c r="DH1" t="e">
        <v>#VALUE!</v>
      </c>
      <c r="DI1" t="e">
        <f ca="1">_xll.RiskCDS2(Sheet1!DH1,1,)</f>
        <v>#NAME?</v>
      </c>
      <c r="DJ1" t="e">
        <v>#VALUE!</v>
      </c>
      <c r="DK1" t="e">
        <f ca="1">_xll.RiskCDS2(Sheet1!DJ1,1,)</f>
        <v>#NAME?</v>
      </c>
      <c r="DL1" t="e">
        <v>#VALUE!</v>
      </c>
      <c r="DM1" t="e">
        <f ca="1">_xll.RiskCDS2(Sheet1!DL1,1,)</f>
        <v>#NAME?</v>
      </c>
      <c r="DN1" t="e">
        <f ca="1">_xll.RiskCDS2(Sheet1!DL1,2,)</f>
        <v>#NAME?</v>
      </c>
      <c r="DO1" t="e">
        <v>#VALUE!</v>
      </c>
      <c r="DP1" t="e">
        <f ca="1">_xll.RiskCDS2(Sheet1!DO1,1,)</f>
        <v>#NAME?</v>
      </c>
      <c r="DQ1" t="e">
        <f ca="1">_xll.RiskCDS2(Sheet1!DO1,2,)</f>
        <v>#NAME?</v>
      </c>
      <c r="DR1" t="e">
        <f ca="1">_xll.RiskCDS2(Sheet1!DO1,3,)</f>
        <v>#NAME?</v>
      </c>
      <c r="DS1" t="e">
        <v>#VALUE!</v>
      </c>
      <c r="DT1" t="e">
        <f ca="1">_xll.RiskCDS2(Sheet1!DS1,2,)</f>
        <v>#NAME?</v>
      </c>
      <c r="DU1" t="e">
        <v>#VALUE!</v>
      </c>
      <c r="DV1" t="e">
        <f ca="1">_xll.RiskCDS2(Sheet1!DU1,2,)</f>
        <v>#NAME?</v>
      </c>
      <c r="DW1" t="e">
        <v>#VALUE!</v>
      </c>
      <c r="DX1" t="e">
        <f ca="1">_xll.RiskCDS2(Sheet1!DW1,3,)</f>
        <v>#NAME?</v>
      </c>
      <c r="DY1" t="e">
        <f ca="1">_xll.RiskCDS2(Sheet1!DW1,4,)</f>
        <v>#NAME?</v>
      </c>
      <c r="DZ1" t="e">
        <v>#VALUE!</v>
      </c>
      <c r="EA1" t="e">
        <f ca="1">_xll.RiskCDS2(Sheet1!DZ1,1,)</f>
        <v>#NAME?</v>
      </c>
      <c r="EB1" t="e">
        <f ca="1">_xll.RiskCDS2(Sheet1!DZ1,2,)</f>
        <v>#NAME?</v>
      </c>
      <c r="EC1" t="e">
        <f ca="1">_xll.RiskCDS2(Sheet1!DZ1,3,)</f>
        <v>#NAME?</v>
      </c>
      <c r="ED1" t="e">
        <v>#VALUE!</v>
      </c>
      <c r="EE1" t="e">
        <f ca="1">_xll.RiskCDS2(Sheet1!ED1,3,)</f>
        <v>#NAME?</v>
      </c>
      <c r="EF1" t="e">
        <v>#VALUE!</v>
      </c>
      <c r="EG1" t="e">
        <f ca="1">_xll.RiskCDS2(Sheet1!EF1,3,)</f>
        <v>#NAME?</v>
      </c>
      <c r="EH1" t="e">
        <v>#VALUE!</v>
      </c>
      <c r="EI1" t="e">
        <f ca="1">_xll.RiskCDS2(Sheet1!EH1,5,)</f>
        <v>#NAME?</v>
      </c>
      <c r="EJ1" t="e">
        <f ca="1">_xll.RiskCDS2(Sheet1!EH1,6,)</f>
        <v>#NAME?</v>
      </c>
      <c r="EK1" t="e">
        <v>#VALUE!</v>
      </c>
      <c r="EL1" t="e">
        <f ca="1">_xll.RiskCDS2(Sheet1!EK1,1,)</f>
        <v>#NAME?</v>
      </c>
      <c r="EM1" t="e">
        <f ca="1">_xll.RiskCDS2(Sheet1!EK1,2,)</f>
        <v>#NAME?</v>
      </c>
      <c r="EN1" t="e">
        <f ca="1">_xll.RiskCDS2(Sheet1!EK1,3,)</f>
        <v>#NAME?</v>
      </c>
      <c r="EO1" t="e">
        <v>#VALUE!</v>
      </c>
      <c r="EP1" t="e">
        <f ca="1">_xll.RiskCDS2(Sheet1!EO1,4,)</f>
        <v>#NAME?</v>
      </c>
      <c r="EQ1" t="e">
        <v>#VALUE!</v>
      </c>
      <c r="ER1" t="e">
        <f ca="1">_xll.RiskCDS2(Sheet1!EQ1,4,)</f>
        <v>#NAME?</v>
      </c>
      <c r="ES1" t="e">
        <v>#VALUE!</v>
      </c>
      <c r="ET1" t="e">
        <f ca="1">_xll.RiskCDS2(Sheet1!ES1,7,)</f>
        <v>#NAME?</v>
      </c>
      <c r="EU1" t="e">
        <f ca="1">_xll.RiskCDS2(Sheet1!ES1,8,)</f>
        <v>#NAME?</v>
      </c>
      <c r="EV1" t="e">
        <v>#VALUE!</v>
      </c>
      <c r="EW1" t="e">
        <f ca="1">_xll.RiskCDS2(Sheet1!EV1,1,)</f>
        <v>#NAME?</v>
      </c>
      <c r="EX1" t="e">
        <f ca="1">_xll.RiskCDS2(Sheet1!EV1,2,)</f>
        <v>#NAME?</v>
      </c>
      <c r="EY1" t="e">
        <f ca="1">_xll.RiskCDS2(Sheet1!EV1,3,)</f>
        <v>#NAME?</v>
      </c>
      <c r="EZ1" t="e">
        <v>#VALUE!</v>
      </c>
      <c r="FA1" t="e">
        <f ca="1">_xll.RiskCDS2(Sheet1!EZ1,5,)</f>
        <v>#NAME?</v>
      </c>
      <c r="FB1" t="e">
        <v>#VALUE!</v>
      </c>
      <c r="FC1" t="e">
        <f ca="1">_xll.RiskCDS2(Sheet1!FB1,5,)</f>
        <v>#NAME?</v>
      </c>
      <c r="FD1" t="e">
        <v>#VALUE!</v>
      </c>
      <c r="FE1" t="e">
        <f ca="1">_xll.RiskCDS2(Sheet1!FD1,9,)</f>
        <v>#NAME?</v>
      </c>
      <c r="FF1" t="e">
        <f ca="1">_xll.RiskCDS2(Sheet1!FD1,10,)</f>
        <v>#NAME?</v>
      </c>
      <c r="FG1" t="e">
        <v>#VALUE!</v>
      </c>
      <c r="FH1" t="e">
        <f ca="1">_xll.RiskCDS2(Sheet1!FG1,1,)</f>
        <v>#NAME?</v>
      </c>
      <c r="FI1" t="e">
        <f ca="1">_xll.RiskCDS2(Sheet1!FG1,2,)</f>
        <v>#NAME?</v>
      </c>
      <c r="FJ1" t="e">
        <f ca="1">_xll.RiskCDS2(Sheet1!FG1,3,)</f>
        <v>#NAME?</v>
      </c>
      <c r="FK1" t="e">
        <v>#VALUE!</v>
      </c>
      <c r="FL1" t="e">
        <f ca="1">_xll.RiskCDS2(Sheet1!FK1,6,)</f>
        <v>#NAME?</v>
      </c>
      <c r="FM1" t="e">
        <v>#VALUE!</v>
      </c>
      <c r="FN1" t="e">
        <f ca="1">_xll.RiskCDS2(Sheet1!FM1,6,)</f>
        <v>#NAME?</v>
      </c>
      <c r="FO1" t="e">
        <v>#VALUE!</v>
      </c>
      <c r="FP1" t="e">
        <f ca="1">_xll.RiskCDS2(Sheet1!FO1,11,)</f>
        <v>#NAME?</v>
      </c>
      <c r="FQ1" t="e">
        <f ca="1">_xll.RiskCDS2(Sheet1!FO1,12,)</f>
        <v>#NAME?</v>
      </c>
      <c r="FR1" t="e">
        <v>#VALUE!</v>
      </c>
      <c r="FS1" t="e">
        <f ca="1">_xll.RiskCDS2(Sheet1!FR1,1,)</f>
        <v>#NAME?</v>
      </c>
      <c r="FT1" t="e">
        <f ca="1">_xll.RiskCDS2(Sheet1!FR1,2,)</f>
        <v>#NAME?</v>
      </c>
      <c r="FU1" t="e">
        <f ca="1">_xll.RiskCDS2(Sheet1!FR1,3,)</f>
        <v>#NAME?</v>
      </c>
      <c r="FV1" t="e">
        <v>#VALUE!</v>
      </c>
      <c r="FW1" t="e">
        <f ca="1">_xll.RiskCDS2(Sheet1!FV1,7,)</f>
        <v>#NAME?</v>
      </c>
      <c r="FX1" t="e">
        <v>#VALUE!</v>
      </c>
      <c r="FY1" t="e">
        <f ca="1">_xll.RiskCDS2(Sheet1!FX1,7,)</f>
        <v>#NAME?</v>
      </c>
      <c r="FZ1" t="e">
        <v>#VALUE!</v>
      </c>
      <c r="GA1" t="e">
        <f ca="1">_xll.RiskCDS2(Sheet1!FZ1,13,)</f>
        <v>#NAME?</v>
      </c>
      <c r="GB1" t="e">
        <f ca="1">_xll.RiskCDS2(Sheet1!FZ1,14,)</f>
        <v>#NAME?</v>
      </c>
      <c r="GC1" t="e">
        <v>#VALUE!</v>
      </c>
      <c r="GD1" t="e">
        <f ca="1">_xll.RiskCDS2(Sheet1!GC1,1,)</f>
        <v>#NAME?</v>
      </c>
      <c r="GE1" t="e">
        <f ca="1">_xll.RiskCDS2(Sheet1!GC1,2,)</f>
        <v>#NAME?</v>
      </c>
      <c r="GF1" t="e">
        <f ca="1">_xll.RiskCDS2(Sheet1!GC1,3,)</f>
        <v>#NAME?</v>
      </c>
      <c r="GG1" t="e">
        <v>#VALUE!</v>
      </c>
      <c r="GH1" t="e">
        <f ca="1">_xll.RiskCDS2(Sheet1!GG1,8,)</f>
        <v>#NAME?</v>
      </c>
      <c r="GI1" t="e">
        <v>#VALUE!</v>
      </c>
      <c r="GJ1" t="e">
        <f ca="1">_xll.RiskCDS2(Sheet1!GI1,8,)</f>
        <v>#NAME?</v>
      </c>
      <c r="GK1" t="e">
        <v>#VALUE!</v>
      </c>
      <c r="GL1" t="e">
        <f ca="1">_xll.RiskCDS2(Sheet1!GK1,15,)</f>
        <v>#NAME?</v>
      </c>
      <c r="GM1" t="e">
        <f ca="1">_xll.RiskCDS2(Sheet1!GK1,16,)</f>
        <v>#NAME?</v>
      </c>
      <c r="GN1" t="e">
        <v>#VALUE!</v>
      </c>
      <c r="GO1" t="e">
        <f ca="1">_xll.RiskCDS2(Sheet1!GN1,1,)</f>
        <v>#NAME?</v>
      </c>
      <c r="GP1" t="e">
        <f ca="1">_xll.RiskCDS2(Sheet1!GN1,2,)</f>
        <v>#NAME?</v>
      </c>
      <c r="GQ1" t="e">
        <f ca="1">_xll.RiskCDS2(Sheet1!GN1,3,)</f>
        <v>#NAME?</v>
      </c>
      <c r="GR1" t="e">
        <v>#VALUE!</v>
      </c>
      <c r="GS1" t="e">
        <f ca="1">_xll.RiskCDS2(Sheet1!GR1,9,)</f>
        <v>#NAME?</v>
      </c>
      <c r="GT1" t="e">
        <v>#VALUE!</v>
      </c>
      <c r="GU1" t="e">
        <f ca="1">_xll.RiskCDS2(Sheet1!GT1,9,)</f>
        <v>#NAME?</v>
      </c>
      <c r="GV1" t="e">
        <v>#VALUE!</v>
      </c>
      <c r="GW1" t="e">
        <f ca="1">_xll.RiskCDS2(Sheet1!GV1,17,)</f>
        <v>#NAME?</v>
      </c>
      <c r="GX1" t="e">
        <f ca="1">_xll.RiskCDS2(Sheet1!GV1,18,)</f>
        <v>#NAME?</v>
      </c>
      <c r="GY1" t="e">
        <v>#VALUE!</v>
      </c>
      <c r="GZ1" t="e">
        <f ca="1">_xll.RiskCDS2(Sheet1!GY1,1,)</f>
        <v>#NAME?</v>
      </c>
      <c r="HA1" t="e">
        <f ca="1">_xll.RiskCDS2(Sheet1!GY1,2,)</f>
        <v>#NAME?</v>
      </c>
      <c r="HB1" t="e">
        <f ca="1">_xll.RiskCDS2(Sheet1!GY1,3,)</f>
        <v>#NAME?</v>
      </c>
      <c r="HC1" t="e">
        <v>#VALUE!</v>
      </c>
      <c r="HD1" t="e">
        <f ca="1">_xll.RiskCDS2(Sheet1!HC1,10,)</f>
        <v>#NAME?</v>
      </c>
      <c r="HE1" t="e">
        <v>#VALUE!</v>
      </c>
      <c r="HF1" t="e">
        <f ca="1">_xll.RiskCDS2(Sheet1!HE1,10,)</f>
        <v>#NAME?</v>
      </c>
      <c r="HG1" t="e">
        <v>#VALUE!</v>
      </c>
      <c r="HH1" t="e">
        <f ca="1">_xll.RiskCDS2(Sheet1!HG1,19,)</f>
        <v>#NAME?</v>
      </c>
      <c r="HI1" t="e">
        <f ca="1">_xll.RiskCDS2(Sheet1!HG1,20,)</f>
        <v>#NAME?</v>
      </c>
      <c r="HJ1" t="e">
        <v>#VALUE!</v>
      </c>
      <c r="HK1" t="e">
        <f ca="1">_xll.RiskCDS2(Sheet1!HJ1,1,)</f>
        <v>#NAME?</v>
      </c>
      <c r="HL1" t="e">
        <f ca="1">_xll.RiskCDS2(Sheet1!HJ1,2,)</f>
        <v>#NAME?</v>
      </c>
      <c r="HM1" t="e">
        <f ca="1">_xll.RiskCDS2(Sheet1!HJ1,3,)</f>
        <v>#NAME?</v>
      </c>
    </row>
  </sheetData>
  <phoneticPr fontId="0"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19</vt:i4>
      </vt:variant>
    </vt:vector>
  </HeadingPairs>
  <TitlesOfParts>
    <vt:vector size="19" baseType="lpstr">
      <vt:lpstr>Notes</vt:lpstr>
      <vt:lpstr>Prices</vt:lpstr>
      <vt:lpstr>Machines</vt:lpstr>
      <vt:lpstr>Treatments</vt:lpstr>
      <vt:lpstr>Gross margin summary</vt:lpstr>
      <vt:lpstr>Sheet2</vt:lpstr>
      <vt:lpstr>Sheet1</vt:lpstr>
      <vt:lpstr>Sheet3</vt:lpstr>
      <vt:lpstr>Buffel</vt:lpstr>
      <vt:lpstr>Leucaena</vt:lpstr>
      <vt:lpstr>Butterfly pea</vt:lpstr>
      <vt:lpstr>Lablab</vt:lpstr>
      <vt:lpstr>Forage sorghum</vt:lpstr>
      <vt:lpstr>Oats</vt:lpstr>
      <vt:lpstr>GM7</vt:lpstr>
      <vt:lpstr>GM8</vt:lpstr>
      <vt:lpstr>GM9</vt:lpstr>
      <vt:lpstr>GM10</vt:lpstr>
      <vt:lpstr>GM11</vt:lpstr>
    </vt:vector>
  </TitlesOfParts>
  <Company>Queensland Department of Agriculture Fisheries and Forestry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Gross margins</dc:title>
  <dc:subject/>
  <dc:creator>Fred Chudleigh</dc:creator>
  <cp:lastModifiedBy>Grace Wickson</cp:lastModifiedBy>
  <cp:lastPrinted>2008-09-15T23:28:09Z</cp:lastPrinted>
  <dcterms:created xsi:type="dcterms:W3CDTF">1998-05-21T02:12:09Z</dcterms:created>
  <dcterms:modified xsi:type="dcterms:W3CDTF">2026-06-23T22:30:28Z</dcterms:modified>
</cp:coreProperties>
</file>