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0" windowWidth="14580" windowHeight="11760" activeTab="0"/>
  </bookViews>
  <sheets>
    <sheet name="sell v feed" sheetId="1" r:id="rId1"/>
  </sheets>
  <externalReferences>
    <externalReference r:id="rId4"/>
    <externalReference r:id="rId5"/>
  </externalReferences>
  <definedNames>
    <definedName name="AE" localSheetId="0">'[1]SOP'!#REF!</definedName>
    <definedName name="AE">'[1]SOP'!#REF!</definedName>
    <definedName name="ALL">#REF!</definedName>
    <definedName name="CA" localSheetId="0">'[1]SOP'!#REF!</definedName>
    <definedName name="CA">'[1]SOP'!#REF!</definedName>
    <definedName name="CH" localSheetId="0">'[1]SOP'!#REF!</definedName>
    <definedName name="CH">'[1]SOP'!#REF!</definedName>
    <definedName name="costs" localSheetId="0">#REF!</definedName>
    <definedName name="costs">#REF!</definedName>
    <definedName name="disease">#REF!</definedName>
    <definedName name="FE" localSheetId="0">'[1]SOP'!#REF!</definedName>
    <definedName name="FE">'[1]SOP'!#REF!</definedName>
    <definedName name="fert">#REF!</definedName>
    <definedName name="gm1_" localSheetId="0">#REF!</definedName>
    <definedName name="gm1_">#REF!</definedName>
    <definedName name="HA" localSheetId="0">'[1]SOP'!#REF!</definedName>
    <definedName name="HA">'[1]SOP'!#REF!</definedName>
    <definedName name="harvest">#REF!</definedName>
    <definedName name="insect">#REF!</definedName>
    <definedName name="IR" localSheetId="0">'[1]SOP'!#REF!</definedName>
    <definedName name="IR">'[1]SOP'!#REF!</definedName>
    <definedName name="irrig">#REF!</definedName>
    <definedName name="MA" localSheetId="0">'[1]SOP'!#REF!</definedName>
    <definedName name="MA">'[1]SOP'!#REF!</definedName>
    <definedName name="name">#REF!</definedName>
    <definedName name="OT" localSheetId="0">'[1]SOP'!#REF!</definedName>
    <definedName name="OT">'[1]SOP'!#REF!</definedName>
    <definedName name="plant">#REF!</definedName>
    <definedName name="prep">#REF!</definedName>
    <definedName name="replant">#REF!</definedName>
    <definedName name="RH" localSheetId="0">'[1]SOP'!#REF!</definedName>
    <definedName name="RH">'[1]SOP'!#REF!</definedName>
    <definedName name="SE" localSheetId="0">'[1]SOP'!#REF!</definedName>
    <definedName name="SE">'[1]SOP'!#REF!</definedName>
    <definedName name="varcost" localSheetId="0">'[2]#REF'!#REF!</definedName>
    <definedName name="varcost">'[2]#REF'!#REF!</definedName>
    <definedName name="weed">#REF!</definedName>
  </definedNames>
  <calcPr fullCalcOnLoad="1"/>
</workbook>
</file>

<file path=xl/comments1.xml><?xml version="1.0" encoding="utf-8"?>
<comments xmlns="http://schemas.openxmlformats.org/spreadsheetml/2006/main">
  <authors>
    <author>Daddy</author>
    <author>sneathr</author>
    <author>SNEATH Roger</author>
  </authors>
  <commentList>
    <comment ref="D25" authorId="0">
      <text>
        <r>
          <rPr>
            <sz val="10"/>
            <rFont val="Tahoma"/>
            <family val="2"/>
          </rPr>
          <t xml:space="preserve">This break even sale price, when multiplied by the final weight, will cover the initial gross stock value plus all feeding costs. (it ignores buy/sell costs)
</t>
        </r>
        <r>
          <rPr>
            <u val="single"/>
            <sz val="10"/>
            <rFont val="Tahoma"/>
            <family val="2"/>
          </rPr>
          <t>Say for example:</t>
        </r>
        <r>
          <rPr>
            <sz val="10"/>
            <rFont val="Tahoma"/>
            <family val="2"/>
          </rPr>
          <t xml:space="preserve">
Initial gross value: $400
All feeding costs:   $200
Total $'s to cover: $600
Final live weight:   400 kg
Break even price = $600 / 400kg = $1.50/kg Lwt.
</t>
        </r>
        <r>
          <rPr>
            <u val="single"/>
            <sz val="10"/>
            <rFont val="Tahoma"/>
            <family val="2"/>
          </rPr>
          <t>NB. Factors not accounted for:</t>
        </r>
        <r>
          <rPr>
            <sz val="10"/>
            <rFont val="Tahoma"/>
            <family val="2"/>
          </rPr>
          <t xml:space="preserve">
 - effect on pastures with feeding
 - buying and selling costs, interest saved/earnt
 - value of calves born during feeding period (accounted below)
</t>
        </r>
      </text>
    </comment>
    <comment ref="B27" authorId="1">
      <text>
        <r>
          <rPr>
            <sz val="10"/>
            <rFont val="Tahoma"/>
            <family val="2"/>
          </rPr>
          <t xml:space="preserve">If no calves being born during feeding period then make this ZERO.
</t>
        </r>
      </text>
    </comment>
    <comment ref="B28" authorId="1">
      <text>
        <r>
          <rPr>
            <sz val="9"/>
            <rFont val="Tahoma"/>
            <family val="2"/>
          </rPr>
          <t>Enter relevant "Start date" above and number of days feeding first.</t>
        </r>
        <r>
          <rPr>
            <sz val="8"/>
            <rFont val="Tahoma"/>
            <family val="2"/>
          </rPr>
          <t xml:space="preserve">
</t>
        </r>
      </text>
    </comment>
    <comment ref="E77" authorId="1">
      <text>
        <r>
          <rPr>
            <sz val="10"/>
            <rFont val="Tahoma"/>
            <family val="2"/>
          </rPr>
          <t>Enter own dates and scenarios below</t>
        </r>
      </text>
    </comment>
    <comment ref="D17" authorId="1">
      <text>
        <r>
          <rPr>
            <sz val="8"/>
            <rFont val="Tahoma"/>
            <family val="2"/>
          </rPr>
          <t xml:space="preserve">3/4 of all the feeding costs are added to initial stock gross value for this calculation.
</t>
        </r>
      </text>
    </comment>
    <comment ref="I24" authorId="0">
      <text>
        <r>
          <rPr>
            <sz val="9"/>
            <rFont val="Tahoma"/>
            <family val="2"/>
          </rPr>
          <t xml:space="preserve">This compares the cost of feeding to the cost of selling &amp; buying back.
It does not consider:
-discounting (time value of money)
-other factors as listed below. (eg impacts on pastures, stock, people…) </t>
        </r>
      </text>
    </comment>
    <comment ref="B13" authorId="2">
      <text>
        <r>
          <rPr>
            <sz val="9"/>
            <rFont val="Tahoma"/>
            <family val="2"/>
          </rPr>
          <t>Date can be entered as all numbers or typing the month, e.g.
15/7/14
15 July 14</t>
        </r>
      </text>
    </comment>
    <comment ref="B31" authorId="2">
      <text>
        <r>
          <rPr>
            <sz val="9"/>
            <rFont val="Tahoma"/>
            <family val="0"/>
          </rPr>
          <t>This adds 30 kg calf birth weight to the daily gain x age in days above.</t>
        </r>
      </text>
    </comment>
  </commentList>
</comments>
</file>

<file path=xl/sharedStrings.xml><?xml version="1.0" encoding="utf-8"?>
<sst xmlns="http://schemas.openxmlformats.org/spreadsheetml/2006/main" count="118" uniqueCount="110">
  <si>
    <t>Feeding</t>
  </si>
  <si>
    <t>Pastures</t>
  </si>
  <si>
    <t>Points to consider</t>
  </si>
  <si>
    <t>Two most important grazing management practices to help maintain land condition include:</t>
  </si>
  <si>
    <t>Other factors</t>
  </si>
  <si>
    <t>days</t>
  </si>
  <si>
    <t>Feed eaten (T)</t>
  </si>
  <si>
    <t>Period 1</t>
  </si>
  <si>
    <t>Period 2</t>
  </si>
  <si>
    <t>Consider dry period example:</t>
  </si>
  <si>
    <t>Start</t>
  </si>
  <si>
    <t>End</t>
  </si>
  <si>
    <t>Days</t>
  </si>
  <si>
    <t>Scenario 1</t>
  </si>
  <si>
    <t>Scenario 2</t>
  </si>
  <si>
    <t>Date sold</t>
  </si>
  <si>
    <t>Sell some</t>
  </si>
  <si>
    <t>Total number of head at start</t>
  </si>
  <si>
    <t>No. head remaining</t>
  </si>
  <si>
    <t xml:space="preserve">Sell some </t>
  </si>
  <si>
    <t>now</t>
  </si>
  <si>
    <t>Feed eaten over total period (T)</t>
  </si>
  <si>
    <t>Number of head remaining</t>
  </si>
  <si>
    <t xml:space="preserve">For example, consider a failed summer by the end of March. </t>
  </si>
  <si>
    <t>The calculator below compares the difference in feed needed for two scenarios - if you sell some earlier or later.</t>
  </si>
  <si>
    <t>Daily dry matter intake (kg/hd/day)</t>
  </si>
  <si>
    <t>Tonnes of feed more or less available</t>
  </si>
  <si>
    <t>Number of head sold</t>
  </si>
  <si>
    <t>Pasture sparing benefits of early sales, when feed is limiting</t>
  </si>
  <si>
    <t>Risk management</t>
  </si>
  <si>
    <t>freight</t>
  </si>
  <si>
    <t xml:space="preserve"> + freight $/hd</t>
  </si>
  <si>
    <t>Weight</t>
  </si>
  <si>
    <t>kg</t>
  </si>
  <si>
    <t>Feed</t>
  </si>
  <si>
    <t>Daily feed cost</t>
  </si>
  <si>
    <t>/hd/day</t>
  </si>
  <si>
    <t xml:space="preserve"> - interest saved/earnt</t>
  </si>
  <si>
    <t>Start date</t>
  </si>
  <si>
    <t>versus</t>
  </si>
  <si>
    <t>buy back value $/hd</t>
  </si>
  <si>
    <r>
      <t>Cost to buy back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(buy back value - value now)</t>
    </r>
  </si>
  <si>
    <t>Value $/kg</t>
  </si>
  <si>
    <t>Other options</t>
  </si>
  <si>
    <t>Other feeding considerations</t>
  </si>
  <si>
    <t>Other selling considerations</t>
  </si>
  <si>
    <t>Costs of feeding versus selling</t>
  </si>
  <si>
    <r>
      <rPr>
        <b/>
        <sz val="10"/>
        <color indexed="12"/>
        <rFont val="Arial"/>
        <family val="2"/>
      </rPr>
      <t xml:space="preserve">Blue </t>
    </r>
    <r>
      <rPr>
        <sz val="10"/>
        <rFont val="Arial"/>
        <family val="2"/>
      </rPr>
      <t>figures are data entry</t>
    </r>
  </si>
  <si>
    <t>Lighter country is more fragile - i.e. faster to degrade and longer to restore.</t>
  </si>
  <si>
    <t>Healthy, productive pastures are the primary resource that drives long term productivity.</t>
  </si>
  <si>
    <t>commission %</t>
  </si>
  <si>
    <t>kg fed/day</t>
  </si>
  <si>
    <t>Buy back $/kg</t>
  </si>
  <si>
    <t>other selling costs</t>
  </si>
  <si>
    <t>Feed cost $/hd/d</t>
  </si>
  <si>
    <t>Fuel, labour, R&amp;M, gear $/hd</t>
  </si>
  <si>
    <t>Deaths $/hd</t>
  </si>
  <si>
    <t>Interest (stock &amp; feed) $/hd</t>
  </si>
  <si>
    <t>Cost to feed $/hd</t>
  </si>
  <si>
    <t>Final weight kg</t>
  </si>
  <si>
    <t>When born</t>
  </si>
  <si>
    <t>Av. daily gain (kg)</t>
  </si>
  <si>
    <t>Calve %</t>
  </si>
  <si>
    <t>Age (days)</t>
  </si>
  <si>
    <t>Will calves be born?</t>
  </si>
  <si>
    <t xml:space="preserve"> Calf value per cow =</t>
  </si>
  <si>
    <t>Land in 'A' condition is twice as productive as land in 'C' condition.</t>
  </si>
  <si>
    <t>The effects feeding has on pastures - pasture health, infiltration, runoff, erosion, weeds, degradation risks, 3P grasses, reduced productivity.</t>
  </si>
  <si>
    <t>Speed of pasture recovery after rain.</t>
  </si>
  <si>
    <t xml:space="preserve"> 2. using wet season spelling of paddocks (rotational grazing) to promote healthy 3P pastures and preserve or improve land condition.</t>
  </si>
  <si>
    <t>Feeding is very expensive, especially for long periods.</t>
  </si>
  <si>
    <t>Feeding can be very stressful on people, stock, pastures, soils, equipment and finances.</t>
  </si>
  <si>
    <t>Risks - stock losses during drought (bogging, feeds etc), reduced/delayed calving, losses after drought breaking rain.</t>
  </si>
  <si>
    <t>Impact on finances/capital and equity.</t>
  </si>
  <si>
    <t>Depreciation, wear and tear on equipment, and infrastructure.</t>
  </si>
  <si>
    <t>Other opportunities lost while busy with feeding - alternative use of time and work effort.</t>
  </si>
  <si>
    <t>If sell and get it wrong - may miss out on some profit although pastures will benefit.</t>
  </si>
  <si>
    <r>
      <t>If don’t sell and get it wrong - can lead to large losses in equity, pastures weakened and can be long</t>
    </r>
    <r>
      <rPr>
        <sz val="10"/>
        <rFont val="Arial"/>
        <family val="0"/>
      </rPr>
      <t>–</t>
    </r>
    <r>
      <rPr>
        <sz val="10"/>
        <rFont val="Arial"/>
        <family val="2"/>
      </rPr>
      <t>term reduced productivity.</t>
    </r>
  </si>
  <si>
    <t>Consider use of seasonal forecasts (SOI, PDO, IOD) if relevant to your region. Remember it is only a probability, so you can still get the 1 in 9 etc unexpected events.</t>
  </si>
  <si>
    <t>Have a drought plan. Have a cut off date for destocking for failed wet seasons, e.g. if no good grass growth by end of February or March.</t>
  </si>
  <si>
    <t>More feed left to carry remaining stock longer and less head need to be sold.</t>
  </si>
  <si>
    <t>Prices are often better and/or stock heavier.</t>
  </si>
  <si>
    <t>It could be another 9 months before reliable tropical pasture growth occurs (December).</t>
  </si>
  <si>
    <t>days later---&gt;</t>
  </si>
  <si>
    <t>Slower pasture recovery</t>
  </si>
  <si>
    <t>Stress on people, stock, soils, pastures, gear, finances</t>
  </si>
  <si>
    <t>Less time for other things</t>
  </si>
  <si>
    <t>How long does it go?</t>
  </si>
  <si>
    <t>Rising feed costs</t>
  </si>
  <si>
    <t>Pasture damage, botanical changes, reduced or delayed productivity</t>
  </si>
  <si>
    <t>Stock loss risks - bogging, end drought - exposure, chase green pick</t>
  </si>
  <si>
    <t>Faster pasture recovery (productive pastures generate wealth)</t>
  </si>
  <si>
    <t>Less stress</t>
  </si>
  <si>
    <t>More time to pursue other opportunities, e.g. other work/income</t>
  </si>
  <si>
    <t>Sale price achieved - move earlier (heavier stock, better prices, more feed left for other stock)</t>
  </si>
  <si>
    <t>Buy back price - check historic data</t>
  </si>
  <si>
    <t>Breeder quality - genetics, fertility, temperament and disease</t>
  </si>
  <si>
    <t>Bull gives biggest genetic impact over time</t>
  </si>
  <si>
    <t>hd</t>
  </si>
  <si>
    <t xml:space="preserve"> - agistment</t>
  </si>
  <si>
    <t xml:space="preserve"> - feedlot</t>
  </si>
  <si>
    <t xml:space="preserve"> - production feed</t>
  </si>
  <si>
    <t xml:space="preserve"> - lease</t>
  </si>
  <si>
    <t xml:space="preserve"> - buy land</t>
  </si>
  <si>
    <t xml:space="preserve"> - drove</t>
  </si>
  <si>
    <r>
      <t xml:space="preserve">Sell &amp; buy back </t>
    </r>
    <r>
      <rPr>
        <sz val="10"/>
        <rFont val="Arial"/>
        <family val="2"/>
      </rPr>
      <t>(the same or similar product)</t>
    </r>
  </si>
  <si>
    <t>Break even sale price to cover all costs</t>
  </si>
  <si>
    <t>$/kg</t>
  </si>
  <si>
    <t xml:space="preserve"> 1. using dry season pasture budgets (i.e. matching stock numbers to feed supply) to have good ground cover and 'rain ready' pastures at end of dry season (e.g. Dec/Jan)</t>
  </si>
  <si>
    <t>Research, such as the Wambiana grazing trial, supports conservative stocking for greater productivity and profits in the long run.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</si>
</sst>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$-C09]#,##0.00"/>
    <numFmt numFmtId="174" formatCode="[$$-C09]#,##0"/>
    <numFmt numFmtId="175" formatCode="#,##0.0_ ;[Red]\-#,##0.0\ "/>
    <numFmt numFmtId="176" formatCode="0_ ;[Red]\-0\ "/>
    <numFmt numFmtId="177" formatCode="&quot;$&quot;#,##0.00;[Red]&quot;$&quot;#,##0.00"/>
    <numFmt numFmtId="178" formatCode="&quot;$&quot;#,##0.0;[Red]&quot;$&quot;#,##0.0"/>
    <numFmt numFmtId="179" formatCode="&quot;$&quot;#,##0;[Red]&quot;$&quot;#,##0"/>
    <numFmt numFmtId="180" formatCode="&quot;$&quot;#,##0.0;[Red]\-&quot;$&quot;#,##0.0"/>
    <numFmt numFmtId="181" formatCode="&quot;$&quot;#,##0.0_);[Red]\(&quot;$&quot;#,##0.0\)"/>
    <numFmt numFmtId="182" formatCode="#,##0_ ;[Red]\-#,##0\ "/>
    <numFmt numFmtId="183" formatCode="d/m/yy;@"/>
    <numFmt numFmtId="184" formatCode="#,##0.00_ ;[Red]\-#,##0.00\ "/>
    <numFmt numFmtId="185" formatCode="0.00_ ;[Red]\-0.00\ "/>
    <numFmt numFmtId="186" formatCode="#,##0.000_ ;[Red]\-#,##0.00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$-C09]#,##0.0"/>
    <numFmt numFmtId="192" formatCode="&quot;$&quot;#,##0.000;[Red]\-&quot;$&quot;#,##0.000"/>
  </numFmts>
  <fonts count="6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b/>
      <sz val="10"/>
      <name val="Arial"/>
      <family val="2"/>
    </font>
    <font>
      <sz val="10"/>
      <name val="Arial Narrow"/>
      <family val="2"/>
    </font>
    <font>
      <b/>
      <sz val="10"/>
      <color indexed="12"/>
      <name val="Arial"/>
      <family val="2"/>
    </font>
    <font>
      <sz val="10"/>
      <color indexed="63"/>
      <name val="Arial"/>
      <family val="2"/>
    </font>
    <font>
      <sz val="10"/>
      <name val="Tahoma"/>
      <family val="2"/>
    </font>
    <font>
      <b/>
      <sz val="11"/>
      <color indexed="63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9"/>
      <color indexed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color indexed="23"/>
      <name val="Arial Narrow"/>
      <family val="2"/>
    </font>
    <font>
      <b/>
      <sz val="9"/>
      <color indexed="12"/>
      <name val="Arial"/>
      <family val="2"/>
    </font>
    <font>
      <sz val="11"/>
      <name val="Arial"/>
      <family val="2"/>
    </font>
    <font>
      <u val="single"/>
      <sz val="9"/>
      <color indexed="23"/>
      <name val="Arial Narrow"/>
      <family val="2"/>
    </font>
    <font>
      <sz val="10"/>
      <color indexed="10"/>
      <name val="Arial"/>
      <family val="2"/>
    </font>
    <font>
      <sz val="8"/>
      <color indexed="8"/>
      <name val="Times New Roman"/>
      <family val="1"/>
    </font>
    <font>
      <b/>
      <sz val="10"/>
      <color indexed="63"/>
      <name val="Arial"/>
      <family val="2"/>
    </font>
    <font>
      <b/>
      <sz val="15"/>
      <name val="Arial"/>
      <family val="2"/>
    </font>
    <font>
      <u val="single"/>
      <sz val="10"/>
      <color indexed="63"/>
      <name val="Arial"/>
      <family val="2"/>
    </font>
    <font>
      <u val="single"/>
      <sz val="10"/>
      <name val="Tahoma"/>
      <family val="2"/>
    </font>
    <font>
      <sz val="3.75"/>
      <color indexed="8"/>
      <name val="Arial"/>
      <family val="0"/>
    </font>
    <font>
      <sz val="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5" fontId="6" fillId="0" borderId="10" xfId="57" applyNumberFormat="1" applyFont="1" applyFill="1" applyBorder="1" applyAlignment="1" applyProtection="1">
      <alignment horizontal="center"/>
      <protection locked="0"/>
    </xf>
    <xf numFmtId="0" fontId="6" fillId="0" borderId="11" xfId="57" applyFont="1" applyFill="1" applyBorder="1" applyAlignment="1" applyProtection="1">
      <alignment horizontal="center" wrapText="1"/>
      <protection locked="0"/>
    </xf>
    <xf numFmtId="0" fontId="6" fillId="0" borderId="12" xfId="57" applyFont="1" applyFill="1" applyBorder="1" applyAlignment="1" applyProtection="1">
      <alignment horizontal="center"/>
      <protection locked="0"/>
    </xf>
    <xf numFmtId="0" fontId="6" fillId="0" borderId="13" xfId="57" applyFont="1" applyFill="1" applyBorder="1" applyAlignment="1" applyProtection="1">
      <alignment horizontal="center"/>
      <protection locked="0"/>
    </xf>
    <xf numFmtId="0" fontId="6" fillId="0" borderId="14" xfId="57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77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82" fontId="6" fillId="0" borderId="0" xfId="0" applyNumberFormat="1" applyFont="1" applyFill="1" applyBorder="1" applyAlignment="1" applyProtection="1">
      <alignment/>
      <protection locked="0"/>
    </xf>
    <xf numFmtId="167" fontId="6" fillId="0" borderId="0" xfId="0" applyNumberFormat="1" applyFont="1" applyFill="1" applyBorder="1" applyAlignment="1" applyProtection="1">
      <alignment/>
      <protection locked="0"/>
    </xf>
    <xf numFmtId="165" fontId="6" fillId="0" borderId="0" xfId="0" applyNumberFormat="1" applyFont="1" applyFill="1" applyBorder="1" applyAlignment="1" applyProtection="1">
      <alignment/>
      <protection locked="0"/>
    </xf>
    <xf numFmtId="165" fontId="6" fillId="0" borderId="15" xfId="0" applyNumberFormat="1" applyFont="1" applyFill="1" applyBorder="1" applyAlignment="1" applyProtection="1">
      <alignment/>
      <protection locked="0"/>
    </xf>
    <xf numFmtId="172" fontId="6" fillId="0" borderId="16" xfId="0" applyNumberFormat="1" applyFont="1" applyFill="1" applyBorder="1" applyAlignment="1" applyProtection="1">
      <alignment/>
      <protection locked="0"/>
    </xf>
    <xf numFmtId="174" fontId="6" fillId="0" borderId="17" xfId="0" applyNumberFormat="1" applyFont="1" applyFill="1" applyBorder="1" applyAlignment="1" applyProtection="1">
      <alignment/>
      <protection locked="0"/>
    </xf>
    <xf numFmtId="15" fontId="20" fillId="0" borderId="1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8" fontId="6" fillId="0" borderId="0" xfId="0" applyNumberFormat="1" applyFont="1" applyFill="1" applyBorder="1" applyAlignment="1" applyProtection="1">
      <alignment/>
      <protection locked="0"/>
    </xf>
    <xf numFmtId="167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 locked="0"/>
    </xf>
    <xf numFmtId="165" fontId="6" fillId="0" borderId="0" xfId="0" applyNumberFormat="1" applyFont="1" applyFill="1" applyBorder="1" applyAlignment="1" applyProtection="1">
      <alignment horizontal="left"/>
      <protection locked="0"/>
    </xf>
    <xf numFmtId="6" fontId="6" fillId="0" borderId="0" xfId="0" applyNumberFormat="1" applyFont="1" applyFill="1" applyBorder="1" applyAlignment="1" applyProtection="1">
      <alignment/>
      <protection locked="0"/>
    </xf>
    <xf numFmtId="9" fontId="6" fillId="0" borderId="1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/>
      <protection/>
    </xf>
    <xf numFmtId="0" fontId="0" fillId="34" borderId="19" xfId="0" applyFill="1" applyBorder="1" applyAlignment="1">
      <alignment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18" fillId="34" borderId="0" xfId="58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18" fillId="34" borderId="15" xfId="58" applyFont="1" applyFill="1" applyBorder="1" applyAlignment="1" applyProtection="1">
      <alignment horizontal="left"/>
      <protection/>
    </xf>
    <xf numFmtId="0" fontId="0" fillId="34" borderId="0" xfId="0" applyFill="1" applyBorder="1" applyAlignment="1">
      <alignment/>
    </xf>
    <xf numFmtId="0" fontId="0" fillId="34" borderId="22" xfId="0" applyFill="1" applyBorder="1" applyAlignment="1" applyProtection="1">
      <alignment horizontal="right"/>
      <protection/>
    </xf>
    <xf numFmtId="0" fontId="0" fillId="34" borderId="23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 horizontal="left"/>
      <protection/>
    </xf>
    <xf numFmtId="165" fontId="0" fillId="34" borderId="0" xfId="0" applyNumberForma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/>
      <protection/>
    </xf>
    <xf numFmtId="173" fontId="0" fillId="34" borderId="17" xfId="0" applyNumberFormat="1" applyFill="1" applyBorder="1" applyAlignment="1" applyProtection="1">
      <alignment/>
      <protection/>
    </xf>
    <xf numFmtId="0" fontId="0" fillId="34" borderId="14" xfId="0" applyFill="1" applyBorder="1" applyAlignment="1" applyProtection="1">
      <alignment horizontal="left"/>
      <protection/>
    </xf>
    <xf numFmtId="0" fontId="0" fillId="34" borderId="16" xfId="0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 horizontal="center"/>
      <protection/>
    </xf>
    <xf numFmtId="0" fontId="17" fillId="34" borderId="0" xfId="0" applyFont="1" applyFill="1" applyBorder="1" applyAlignment="1" applyProtection="1">
      <alignment/>
      <protection/>
    </xf>
    <xf numFmtId="0" fontId="12" fillId="34" borderId="22" xfId="0" applyFont="1" applyFill="1" applyBorder="1" applyAlignment="1" applyProtection="1">
      <alignment horizontal="center"/>
      <protection/>
    </xf>
    <xf numFmtId="0" fontId="12" fillId="34" borderId="23" xfId="0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right"/>
      <protection/>
    </xf>
    <xf numFmtId="15" fontId="12" fillId="34" borderId="14" xfId="0" applyNumberFormat="1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left"/>
      <protection/>
    </xf>
    <xf numFmtId="0" fontId="0" fillId="34" borderId="21" xfId="0" applyFill="1" applyBorder="1" applyAlignment="1" applyProtection="1">
      <alignment/>
      <protection locked="0"/>
    </xf>
    <xf numFmtId="165" fontId="0" fillId="34" borderId="0" xfId="0" applyNumberForma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right"/>
      <protection/>
    </xf>
    <xf numFmtId="6" fontId="0" fillId="34" borderId="15" xfId="0" applyNumberFormat="1" applyFill="1" applyBorder="1" applyAlignment="1" applyProtection="1">
      <alignment horizontal="right"/>
      <protection/>
    </xf>
    <xf numFmtId="165" fontId="0" fillId="34" borderId="0" xfId="0" applyNumberFormat="1" applyFill="1" applyBorder="1" applyAlignment="1" applyProtection="1">
      <alignment horizontal="left"/>
      <protection/>
    </xf>
    <xf numFmtId="6" fontId="0" fillId="34" borderId="0" xfId="0" applyNumberForma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right"/>
      <protection/>
    </xf>
    <xf numFmtId="165" fontId="4" fillId="34" borderId="0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 locked="0"/>
    </xf>
    <xf numFmtId="165" fontId="0" fillId="34" borderId="15" xfId="0" applyNumberFormat="1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8" fontId="0" fillId="34" borderId="0" xfId="0" applyNumberFormat="1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/>
      <protection/>
    </xf>
    <xf numFmtId="6" fontId="0" fillId="34" borderId="0" xfId="0" applyNumberFormat="1" applyFill="1" applyBorder="1" applyAlignment="1" applyProtection="1">
      <alignment/>
      <protection locked="0"/>
    </xf>
    <xf numFmtId="0" fontId="18" fillId="34" borderId="21" xfId="58" applyFont="1" applyFill="1" applyBorder="1" applyAlignment="1" applyProtection="1">
      <alignment horizontal="left"/>
      <protection/>
    </xf>
    <xf numFmtId="0" fontId="5" fillId="34" borderId="17" xfId="0" applyFont="1" applyFill="1" applyBorder="1" applyAlignment="1" applyProtection="1">
      <alignment horizontal="right"/>
      <protection/>
    </xf>
    <xf numFmtId="8" fontId="16" fillId="34" borderId="15" xfId="0" applyNumberFormat="1" applyFont="1" applyFill="1" applyBorder="1" applyAlignment="1" applyProtection="1">
      <alignment horizontal="center"/>
      <protection locked="0"/>
    </xf>
    <xf numFmtId="0" fontId="0" fillId="34" borderId="15" xfId="0" applyFill="1" applyBorder="1" applyAlignment="1">
      <alignment/>
    </xf>
    <xf numFmtId="0" fontId="18" fillId="34" borderId="25" xfId="58" applyFont="1" applyFill="1" applyBorder="1" applyAlignment="1" applyProtection="1">
      <alignment horizontal="left"/>
      <protection/>
    </xf>
    <xf numFmtId="0" fontId="0" fillId="33" borderId="19" xfId="0" applyFill="1" applyBorder="1" applyAlignment="1">
      <alignment horizontal="left"/>
    </xf>
    <xf numFmtId="0" fontId="4" fillId="34" borderId="0" xfId="0" applyFont="1" applyFill="1" applyBorder="1" applyAlignment="1" applyProtection="1">
      <alignment horizontal="left"/>
      <protection/>
    </xf>
    <xf numFmtId="0" fontId="0" fillId="34" borderId="26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0" fillId="34" borderId="27" xfId="0" applyFont="1" applyFill="1" applyBorder="1" applyAlignment="1" applyProtection="1">
      <alignment horizontal="right"/>
      <protection/>
    </xf>
    <xf numFmtId="0" fontId="0" fillId="34" borderId="27" xfId="0" applyFont="1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0" fillId="33" borderId="27" xfId="0" applyFill="1" applyBorder="1" applyAlignment="1">
      <alignment/>
    </xf>
    <xf numFmtId="0" fontId="4" fillId="34" borderId="29" xfId="57" applyFont="1" applyFill="1" applyBorder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19" xfId="57" applyFont="1" applyFill="1" applyBorder="1" applyProtection="1">
      <alignment/>
      <protection/>
    </xf>
    <xf numFmtId="0" fontId="0" fillId="34" borderId="20" xfId="57" applyFont="1" applyFill="1" applyBorder="1" applyProtection="1">
      <alignment/>
      <protection/>
    </xf>
    <xf numFmtId="0" fontId="0" fillId="34" borderId="16" xfId="57" applyFont="1" applyFill="1" applyBorder="1" applyAlignment="1" applyProtection="1">
      <alignment horizontal="left"/>
      <protection/>
    </xf>
    <xf numFmtId="0" fontId="0" fillId="34" borderId="0" xfId="57" applyFont="1" applyFill="1" applyBorder="1" applyProtection="1">
      <alignment/>
      <protection/>
    </xf>
    <xf numFmtId="0" fontId="0" fillId="34" borderId="21" xfId="57" applyFont="1" applyFill="1" applyBorder="1" applyProtection="1">
      <alignment/>
      <protection/>
    </xf>
    <xf numFmtId="0" fontId="0" fillId="34" borderId="16" xfId="57" applyFont="1" applyFill="1" applyBorder="1" applyProtection="1">
      <alignment/>
      <protection/>
    </xf>
    <xf numFmtId="0" fontId="0" fillId="34" borderId="0" xfId="57" applyFont="1" applyFill="1" applyBorder="1" applyAlignment="1" applyProtection="1">
      <alignment horizontal="center"/>
      <protection/>
    </xf>
    <xf numFmtId="0" fontId="0" fillId="34" borderId="0" xfId="57" applyFont="1" applyFill="1" applyBorder="1" applyAlignment="1" applyProtection="1">
      <alignment horizontal="left"/>
      <protection/>
    </xf>
    <xf numFmtId="0" fontId="0" fillId="34" borderId="0" xfId="57" applyFont="1" applyFill="1" applyBorder="1" applyAlignment="1" applyProtection="1">
      <alignment horizontal="right"/>
      <protection/>
    </xf>
    <xf numFmtId="1" fontId="0" fillId="34" borderId="0" xfId="57" applyNumberFormat="1" applyFont="1" applyFill="1" applyBorder="1" applyAlignment="1" applyProtection="1">
      <alignment horizontal="left"/>
      <protection/>
    </xf>
    <xf numFmtId="0" fontId="0" fillId="34" borderId="30" xfId="57" applyFont="1" applyFill="1" applyBorder="1" applyAlignment="1" applyProtection="1">
      <alignment horizontal="center"/>
      <protection/>
    </xf>
    <xf numFmtId="0" fontId="0" fillId="34" borderId="31" xfId="57" applyFont="1" applyFill="1" applyBorder="1" applyAlignment="1" applyProtection="1">
      <alignment horizontal="center"/>
      <protection/>
    </xf>
    <xf numFmtId="0" fontId="10" fillId="34" borderId="11" xfId="57" applyFont="1" applyFill="1" applyBorder="1" applyProtection="1">
      <alignment/>
      <protection/>
    </xf>
    <xf numFmtId="0" fontId="4" fillId="34" borderId="23" xfId="57" applyFont="1" applyFill="1" applyBorder="1" applyAlignment="1" applyProtection="1">
      <alignment horizontal="center"/>
      <protection/>
    </xf>
    <xf numFmtId="0" fontId="4" fillId="34" borderId="23" xfId="57" applyFont="1" applyFill="1" applyBorder="1" applyProtection="1">
      <alignment/>
      <protection/>
    </xf>
    <xf numFmtId="15" fontId="0" fillId="34" borderId="0" xfId="57" applyNumberFormat="1" applyFont="1" applyFill="1" applyBorder="1" applyAlignment="1" applyProtection="1">
      <alignment horizontal="center"/>
      <protection/>
    </xf>
    <xf numFmtId="15" fontId="0" fillId="34" borderId="24" xfId="57" applyNumberFormat="1" applyFont="1" applyFill="1" applyBorder="1" applyAlignment="1" applyProtection="1">
      <alignment horizontal="center"/>
      <protection/>
    </xf>
    <xf numFmtId="0" fontId="0" fillId="34" borderId="13" xfId="57" applyFont="1" applyFill="1" applyBorder="1" applyAlignment="1" applyProtection="1">
      <alignment horizontal="left"/>
      <protection/>
    </xf>
    <xf numFmtId="0" fontId="4" fillId="34" borderId="24" xfId="57" applyFont="1" applyFill="1" applyBorder="1" applyAlignment="1" applyProtection="1">
      <alignment horizontal="center"/>
      <protection/>
    </xf>
    <xf numFmtId="0" fontId="0" fillId="34" borderId="32" xfId="57" applyFont="1" applyFill="1" applyBorder="1" applyAlignment="1" applyProtection="1">
      <alignment horizontal="right"/>
      <protection/>
    </xf>
    <xf numFmtId="0" fontId="0" fillId="34" borderId="23" xfId="57" applyFont="1" applyFill="1" applyBorder="1" applyAlignment="1" applyProtection="1">
      <alignment horizontal="center"/>
      <protection/>
    </xf>
    <xf numFmtId="0" fontId="0" fillId="34" borderId="11" xfId="57" applyFont="1" applyFill="1" applyBorder="1" applyAlignment="1" applyProtection="1">
      <alignment horizontal="center" wrapText="1"/>
      <protection/>
    </xf>
    <xf numFmtId="0" fontId="0" fillId="34" borderId="32" xfId="57" applyFont="1" applyFill="1" applyBorder="1" applyAlignment="1" applyProtection="1">
      <alignment horizontal="center"/>
      <protection/>
    </xf>
    <xf numFmtId="1" fontId="0" fillId="34" borderId="11" xfId="57" applyNumberFormat="1" applyFont="1" applyFill="1" applyBorder="1" applyAlignment="1" applyProtection="1">
      <alignment horizontal="center"/>
      <protection/>
    </xf>
    <xf numFmtId="1" fontId="0" fillId="34" borderId="23" xfId="57" applyNumberFormat="1" applyFont="1" applyFill="1" applyBorder="1" applyAlignment="1" applyProtection="1">
      <alignment horizontal="center"/>
      <protection/>
    </xf>
    <xf numFmtId="0" fontId="11" fillId="34" borderId="13" xfId="57" applyFont="1" applyFill="1" applyBorder="1" applyAlignment="1" applyProtection="1">
      <alignment horizontal="center"/>
      <protection/>
    </xf>
    <xf numFmtId="0" fontId="11" fillId="34" borderId="24" xfId="57" applyFont="1" applyFill="1" applyBorder="1" applyAlignment="1" applyProtection="1">
      <alignment horizontal="center"/>
      <protection/>
    </xf>
    <xf numFmtId="0" fontId="11" fillId="34" borderId="0" xfId="57" applyFont="1" applyFill="1" applyBorder="1" applyAlignment="1" applyProtection="1">
      <alignment horizontal="center"/>
      <protection/>
    </xf>
    <xf numFmtId="0" fontId="0" fillId="34" borderId="12" xfId="57" applyFont="1" applyFill="1" applyBorder="1" applyAlignment="1" applyProtection="1">
      <alignment horizontal="center"/>
      <protection/>
    </xf>
    <xf numFmtId="0" fontId="0" fillId="34" borderId="14" xfId="57" applyFont="1" applyFill="1" applyBorder="1" applyAlignment="1" applyProtection="1">
      <alignment horizontal="center"/>
      <protection/>
    </xf>
    <xf numFmtId="15" fontId="0" fillId="34" borderId="13" xfId="57" applyNumberFormat="1" applyFont="1" applyFill="1" applyBorder="1" applyAlignment="1" applyProtection="1">
      <alignment horizontal="center"/>
      <protection/>
    </xf>
    <xf numFmtId="0" fontId="0" fillId="34" borderId="24" xfId="57" applyFont="1" applyFill="1" applyBorder="1" applyAlignment="1" applyProtection="1">
      <alignment horizontal="center"/>
      <protection/>
    </xf>
    <xf numFmtId="0" fontId="6" fillId="34" borderId="14" xfId="57" applyFont="1" applyFill="1" applyBorder="1" applyAlignment="1" applyProtection="1">
      <alignment horizontal="center"/>
      <protection/>
    </xf>
    <xf numFmtId="0" fontId="0" fillId="34" borderId="13" xfId="57" applyFont="1" applyFill="1" applyBorder="1" applyAlignment="1" applyProtection="1">
      <alignment horizontal="center"/>
      <protection/>
    </xf>
    <xf numFmtId="1" fontId="0" fillId="34" borderId="24" xfId="57" applyNumberFormat="1" applyFont="1" applyFill="1" applyBorder="1" applyAlignment="1" applyProtection="1">
      <alignment horizontal="center"/>
      <protection/>
    </xf>
    <xf numFmtId="0" fontId="0" fillId="34" borderId="33" xfId="57" applyFont="1" applyFill="1" applyBorder="1" applyAlignment="1" applyProtection="1">
      <alignment horizontal="right"/>
      <protection/>
    </xf>
    <xf numFmtId="0" fontId="0" fillId="34" borderId="33" xfId="57" applyFont="1" applyFill="1" applyBorder="1" applyAlignment="1" applyProtection="1">
      <alignment horizontal="center"/>
      <protection/>
    </xf>
    <xf numFmtId="0" fontId="4" fillId="34" borderId="10" xfId="57" applyFont="1" applyFill="1" applyBorder="1" applyAlignment="1" applyProtection="1">
      <alignment horizontal="center"/>
      <protection/>
    </xf>
    <xf numFmtId="0" fontId="4" fillId="34" borderId="0" xfId="57" applyFont="1" applyFill="1" applyBorder="1" applyAlignment="1" applyProtection="1">
      <alignment horizontal="center"/>
      <protection/>
    </xf>
    <xf numFmtId="175" fontId="0" fillId="34" borderId="0" xfId="57" applyNumberFormat="1" applyFont="1" applyFill="1" applyBorder="1" applyAlignment="1" applyProtection="1">
      <alignment horizontal="center"/>
      <protection/>
    </xf>
    <xf numFmtId="176" fontId="0" fillId="34" borderId="0" xfId="57" applyNumberFormat="1" applyFont="1" applyFill="1" applyBorder="1" applyAlignment="1" applyProtection="1">
      <alignment horizontal="center"/>
      <protection/>
    </xf>
    <xf numFmtId="0" fontId="0" fillId="34" borderId="27" xfId="57" applyFont="1" applyFill="1" applyBorder="1" applyProtection="1">
      <alignment/>
      <protection/>
    </xf>
    <xf numFmtId="176" fontId="0" fillId="34" borderId="27" xfId="57" applyNumberFormat="1" applyFont="1" applyFill="1" applyBorder="1" applyAlignment="1" applyProtection="1">
      <alignment horizontal="center"/>
      <protection/>
    </xf>
    <xf numFmtId="0" fontId="0" fillId="34" borderId="28" xfId="57" applyFont="1" applyFill="1" applyBorder="1" applyProtection="1">
      <alignment/>
      <protection/>
    </xf>
    <xf numFmtId="9" fontId="20" fillId="0" borderId="23" xfId="0" applyNumberFormat="1" applyFont="1" applyFill="1" applyBorder="1" applyAlignment="1" applyProtection="1">
      <alignment horizontal="center"/>
      <protection locked="0"/>
    </xf>
    <xf numFmtId="15" fontId="20" fillId="0" borderId="24" xfId="0" applyNumberFormat="1" applyFont="1" applyFill="1" applyBorder="1" applyAlignment="1" applyProtection="1">
      <alignment horizontal="center"/>
      <protection locked="0"/>
    </xf>
    <xf numFmtId="38" fontId="12" fillId="34" borderId="24" xfId="0" applyNumberFormat="1" applyFont="1" applyFill="1" applyBorder="1" applyAlignment="1" applyProtection="1">
      <alignment horizontal="center"/>
      <protection/>
    </xf>
    <xf numFmtId="0" fontId="20" fillId="0" borderId="24" xfId="0" applyFont="1" applyFill="1" applyBorder="1" applyAlignment="1" applyProtection="1">
      <alignment horizontal="center"/>
      <protection locked="0"/>
    </xf>
    <xf numFmtId="8" fontId="20" fillId="0" borderId="14" xfId="0" applyNumberFormat="1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left"/>
      <protection/>
    </xf>
    <xf numFmtId="0" fontId="22" fillId="34" borderId="0" xfId="0" applyFont="1" applyFill="1" applyBorder="1" applyAlignment="1" applyProtection="1">
      <alignment/>
      <protection/>
    </xf>
    <xf numFmtId="179" fontId="19" fillId="34" borderId="0" xfId="0" applyNumberFormat="1" applyFont="1" applyFill="1" applyBorder="1" applyAlignment="1" applyProtection="1">
      <alignment horizontal="left"/>
      <protection/>
    </xf>
    <xf numFmtId="0" fontId="9" fillId="35" borderId="29" xfId="57" applyFont="1" applyFill="1" applyBorder="1" applyProtection="1">
      <alignment/>
      <protection/>
    </xf>
    <xf numFmtId="0" fontId="7" fillId="35" borderId="19" xfId="57" applyFont="1" applyFill="1" applyBorder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7" fillId="35" borderId="0" xfId="57" applyFont="1" applyFill="1" applyBorder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7" fillId="35" borderId="16" xfId="57" applyFont="1" applyFill="1" applyBorder="1" applyProtection="1">
      <alignment/>
      <protection/>
    </xf>
    <xf numFmtId="0" fontId="0" fillId="35" borderId="16" xfId="57" applyFont="1" applyFill="1" applyBorder="1" applyProtection="1">
      <alignment/>
      <protection/>
    </xf>
    <xf numFmtId="0" fontId="0" fillId="35" borderId="0" xfId="57" applyFont="1" applyFill="1" applyBorder="1" applyProtection="1">
      <alignment/>
      <protection/>
    </xf>
    <xf numFmtId="0" fontId="0" fillId="35" borderId="26" xfId="57" applyFont="1" applyFill="1" applyBorder="1" applyProtection="1">
      <alignment/>
      <protection/>
    </xf>
    <xf numFmtId="0" fontId="0" fillId="35" borderId="27" xfId="57" applyFont="1" applyFill="1" applyBorder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165" fontId="4" fillId="34" borderId="29" xfId="0" applyNumberFormat="1" applyFont="1" applyFill="1" applyBorder="1" applyAlignment="1" applyProtection="1">
      <alignment horizontal="center"/>
      <protection/>
    </xf>
    <xf numFmtId="165" fontId="4" fillId="34" borderId="26" xfId="0" applyNumberFormat="1" applyFont="1" applyFill="1" applyBorder="1" applyAlignment="1" applyProtection="1">
      <alignment horizontal="center"/>
      <protection/>
    </xf>
    <xf numFmtId="0" fontId="23" fillId="34" borderId="0" xfId="0" applyFont="1" applyFill="1" applyBorder="1" applyAlignment="1" applyProtection="1">
      <alignment/>
      <protection locked="0"/>
    </xf>
    <xf numFmtId="165" fontId="0" fillId="34" borderId="0" xfId="0" applyNumberFormat="1" applyFont="1" applyFill="1" applyBorder="1" applyAlignment="1" applyProtection="1">
      <alignment horizontal="left"/>
      <protection/>
    </xf>
    <xf numFmtId="6" fontId="0" fillId="34" borderId="15" xfId="0" applyNumberFormat="1" applyFill="1" applyBorder="1" applyAlignment="1" applyProtection="1">
      <alignment horizontal="left"/>
      <protection/>
    </xf>
    <xf numFmtId="9" fontId="6" fillId="0" borderId="10" xfId="0" applyNumberFormat="1" applyFont="1" applyFill="1" applyBorder="1" applyAlignment="1" applyProtection="1">
      <alignment horizontal="right"/>
      <protection locked="0"/>
    </xf>
    <xf numFmtId="9" fontId="6" fillId="0" borderId="10" xfId="0" applyNumberFormat="1" applyFont="1" applyFill="1" applyBorder="1" applyAlignment="1" applyProtection="1">
      <alignment horizontal="left"/>
      <protection locked="0"/>
    </xf>
    <xf numFmtId="165" fontId="0" fillId="34" borderId="0" xfId="0" applyNumberFormat="1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21" fillId="36" borderId="34" xfId="0" applyFont="1" applyFill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0" fontId="0" fillId="36" borderId="28" xfId="0" applyFill="1" applyBorder="1" applyAlignment="1" applyProtection="1">
      <alignment/>
      <protection/>
    </xf>
    <xf numFmtId="0" fontId="18" fillId="34" borderId="16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0" fillId="34" borderId="35" xfId="0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25" fillId="35" borderId="16" xfId="57" applyFont="1" applyFill="1" applyBorder="1" applyProtection="1">
      <alignment/>
      <protection/>
    </xf>
    <xf numFmtId="0" fontId="0" fillId="36" borderId="27" xfId="0" applyFont="1" applyFill="1" applyBorder="1" applyAlignment="1" applyProtection="1">
      <alignment/>
      <protection/>
    </xf>
    <xf numFmtId="165" fontId="4" fillId="36" borderId="26" xfId="0" applyNumberFormat="1" applyFont="1" applyFill="1" applyBorder="1" applyAlignment="1" applyProtection="1">
      <alignment horizontal="center"/>
      <protection/>
    </xf>
    <xf numFmtId="0" fontId="4" fillId="36" borderId="19" xfId="0" applyFont="1" applyFill="1" applyBorder="1" applyAlignment="1" applyProtection="1">
      <alignment/>
      <protection/>
    </xf>
    <xf numFmtId="165" fontId="4" fillId="36" borderId="29" xfId="0" applyNumberFormat="1" applyFont="1" applyFill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/>
      <protection/>
    </xf>
    <xf numFmtId="0" fontId="4" fillId="34" borderId="12" xfId="57" applyFont="1" applyFill="1" applyBorder="1" applyAlignment="1" applyProtection="1">
      <alignment horizontal="center"/>
      <protection/>
    </xf>
    <xf numFmtId="0" fontId="26" fillId="34" borderId="34" xfId="0" applyFont="1" applyFill="1" applyBorder="1" applyAlignment="1" applyProtection="1">
      <alignment/>
      <protection/>
    </xf>
    <xf numFmtId="0" fontId="0" fillId="34" borderId="28" xfId="0" applyFont="1" applyFill="1" applyBorder="1" applyAlignment="1" applyProtection="1">
      <alignment/>
      <protection/>
    </xf>
    <xf numFmtId="0" fontId="0" fillId="34" borderId="22" xfId="0" applyFont="1" applyFill="1" applyBorder="1" applyAlignment="1" applyProtection="1">
      <alignment horizontal="right"/>
      <protection/>
    </xf>
    <xf numFmtId="0" fontId="0" fillId="34" borderId="16" xfId="0" applyFont="1" applyFill="1" applyBorder="1" applyAlignment="1" applyProtection="1">
      <alignment horizontal="right"/>
      <protection/>
    </xf>
    <xf numFmtId="0" fontId="0" fillId="34" borderId="17" xfId="0" applyFont="1" applyFill="1" applyBorder="1" applyAlignment="1" applyProtection="1">
      <alignment horizontal="right"/>
      <protection/>
    </xf>
    <xf numFmtId="0" fontId="13" fillId="34" borderId="16" xfId="0" applyFont="1" applyFill="1" applyBorder="1" applyAlignment="1" applyProtection="1">
      <alignment horizontal="right"/>
      <protection/>
    </xf>
    <xf numFmtId="192" fontId="4" fillId="36" borderId="36" xfId="0" applyNumberFormat="1" applyFont="1" applyFill="1" applyBorder="1" applyAlignment="1" applyProtection="1">
      <alignment horizontal="center"/>
      <protection/>
    </xf>
    <xf numFmtId="0" fontId="27" fillId="34" borderId="0" xfId="0" applyFont="1" applyFill="1" applyBorder="1" applyAlignment="1" applyProtection="1">
      <alignment/>
      <protection/>
    </xf>
    <xf numFmtId="0" fontId="0" fillId="36" borderId="18" xfId="0" applyFont="1" applyFill="1" applyBorder="1" applyAlignment="1" applyProtection="1">
      <alignment horizontal="right"/>
      <protection/>
    </xf>
    <xf numFmtId="172" fontId="12" fillId="34" borderId="24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ell or feed new" xfId="57"/>
    <cellStyle name="Normal_TMO - 17 1 1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Feed eaten (tonnes dry matter)</a:t>
            </a:r>
          </a:p>
        </c:rich>
      </c:tx>
      <c:layout>
        <c:manualLayout>
          <c:xMode val="factor"/>
          <c:yMode val="factor"/>
          <c:x val="0.083"/>
          <c:y val="-0.028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125"/>
          <c:y val="0.0785"/>
          <c:w val="0.88825"/>
          <c:h val="0.897"/>
        </c:manualLayout>
      </c:layout>
      <c:area3DChart>
        <c:grouping val="standard"/>
        <c:varyColors val="0"/>
        <c:ser>
          <c:idx val="0"/>
          <c:order val="0"/>
          <c:tx>
            <c:v>sell early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45</c:v>
              </c:pt>
              <c:pt idx="1">
                <c:v>148.5</c:v>
              </c:pt>
            </c:numLit>
          </c:val>
        </c:ser>
        <c:ser>
          <c:idx val="1"/>
          <c:order val="1"/>
          <c:tx>
            <c:v>sell later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60</c:v>
              </c:pt>
              <c:pt idx="1">
                <c:v>138.6</c:v>
              </c:pt>
            </c:numLit>
          </c:val>
        </c:ser>
        <c:axId val="49512832"/>
        <c:axId val="42962305"/>
        <c:axId val="51116426"/>
      </c:area3DChart>
      <c:catAx>
        <c:axId val="4951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62305"/>
        <c:crosses val="autoZero"/>
        <c:auto val="1"/>
        <c:lblOffset val="100"/>
        <c:tickLblSkip val="1"/>
        <c:noMultiLvlLbl val="0"/>
      </c:catAx>
      <c:valAx>
        <c:axId val="429623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12832"/>
        <c:crossesAt val="1"/>
        <c:crossBetween val="midCat"/>
        <c:dispUnits/>
      </c:valAx>
      <c:serAx>
        <c:axId val="5111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623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82</xdr:row>
      <xdr:rowOff>0</xdr:rowOff>
    </xdr:from>
    <xdr:to>
      <xdr:col>11</xdr:col>
      <xdr:colOff>466725</xdr:colOff>
      <xdr:row>92</xdr:row>
      <xdr:rowOff>152400</xdr:rowOff>
    </xdr:to>
    <xdr:graphicFrame>
      <xdr:nvGraphicFramePr>
        <xdr:cNvPr id="1" name="Chart 153"/>
        <xdr:cNvGraphicFramePr/>
      </xdr:nvGraphicFramePr>
      <xdr:xfrm>
        <a:off x="7248525" y="13477875"/>
        <a:ext cx="249555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10</xdr:row>
      <xdr:rowOff>9525</xdr:rowOff>
    </xdr:from>
    <xdr:to>
      <xdr:col>5</xdr:col>
      <xdr:colOff>619125</xdr:colOff>
      <xdr:row>11</xdr:row>
      <xdr:rowOff>19050</xdr:rowOff>
    </xdr:to>
    <xdr:sp>
      <xdr:nvSpPr>
        <xdr:cNvPr id="2" name="Line 1"/>
        <xdr:cNvSpPr>
          <a:spLocks/>
        </xdr:cNvSpPr>
      </xdr:nvSpPr>
      <xdr:spPr>
        <a:xfrm flipH="1">
          <a:off x="3800475" y="1666875"/>
          <a:ext cx="8286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10</xdr:row>
      <xdr:rowOff>0</xdr:rowOff>
    </xdr:from>
    <xdr:to>
      <xdr:col>6</xdr:col>
      <xdr:colOff>323850</xdr:colOff>
      <xdr:row>11</xdr:row>
      <xdr:rowOff>28575</xdr:rowOff>
    </xdr:to>
    <xdr:sp>
      <xdr:nvSpPr>
        <xdr:cNvPr id="3" name="Line 2"/>
        <xdr:cNvSpPr>
          <a:spLocks/>
        </xdr:cNvSpPr>
      </xdr:nvSpPr>
      <xdr:spPr>
        <a:xfrm>
          <a:off x="4610100" y="1657350"/>
          <a:ext cx="647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</xdr:row>
      <xdr:rowOff>19050</xdr:rowOff>
    </xdr:from>
    <xdr:to>
      <xdr:col>4</xdr:col>
      <xdr:colOff>419100</xdr:colOff>
      <xdr:row>19</xdr:row>
      <xdr:rowOff>142875</xdr:rowOff>
    </xdr:to>
    <xdr:sp>
      <xdr:nvSpPr>
        <xdr:cNvPr id="4" name="Line 3"/>
        <xdr:cNvSpPr>
          <a:spLocks/>
        </xdr:cNvSpPr>
      </xdr:nvSpPr>
      <xdr:spPr>
        <a:xfrm>
          <a:off x="3724275" y="2095500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12</xdr:row>
      <xdr:rowOff>9525</xdr:rowOff>
    </xdr:from>
    <xdr:to>
      <xdr:col>6</xdr:col>
      <xdr:colOff>323850</xdr:colOff>
      <xdr:row>19</xdr:row>
      <xdr:rowOff>161925</xdr:rowOff>
    </xdr:to>
    <xdr:sp>
      <xdr:nvSpPr>
        <xdr:cNvPr id="5" name="Line 4"/>
        <xdr:cNvSpPr>
          <a:spLocks/>
        </xdr:cNvSpPr>
      </xdr:nvSpPr>
      <xdr:spPr>
        <a:xfrm>
          <a:off x="5257800" y="2085975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21</xdr:row>
      <xdr:rowOff>0</xdr:rowOff>
    </xdr:from>
    <xdr:to>
      <xdr:col>6</xdr:col>
      <xdr:colOff>95250</xdr:colOff>
      <xdr:row>21</xdr:row>
      <xdr:rowOff>9525</xdr:rowOff>
    </xdr:to>
    <xdr:sp>
      <xdr:nvSpPr>
        <xdr:cNvPr id="6" name="Line 95"/>
        <xdr:cNvSpPr>
          <a:spLocks/>
        </xdr:cNvSpPr>
      </xdr:nvSpPr>
      <xdr:spPr>
        <a:xfrm>
          <a:off x="4010025" y="3590925"/>
          <a:ext cx="1019175" cy="9525"/>
        </a:xfrm>
        <a:prstGeom prst="line">
          <a:avLst/>
        </a:prstGeom>
        <a:noFill/>
        <a:ln w="12700" cmpd="sng">
          <a:solidFill>
            <a:srgbClr val="000000"/>
          </a:solidFill>
          <a:headEnd type="stealth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41</xdr:row>
      <xdr:rowOff>161925</xdr:rowOff>
    </xdr:from>
    <xdr:to>
      <xdr:col>5</xdr:col>
      <xdr:colOff>476250</xdr:colOff>
      <xdr:row>43</xdr:row>
      <xdr:rowOff>104775</xdr:rowOff>
    </xdr:to>
    <xdr:sp>
      <xdr:nvSpPr>
        <xdr:cNvPr id="7" name="Line 4"/>
        <xdr:cNvSpPr>
          <a:spLocks/>
        </xdr:cNvSpPr>
      </xdr:nvSpPr>
      <xdr:spPr>
        <a:xfrm flipH="1">
          <a:off x="4486275" y="6934200"/>
          <a:ext cx="0" cy="2857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66</xdr:row>
      <xdr:rowOff>161925</xdr:rowOff>
    </xdr:from>
    <xdr:to>
      <xdr:col>5</xdr:col>
      <xdr:colOff>485775</xdr:colOff>
      <xdr:row>68</xdr:row>
      <xdr:rowOff>114300</xdr:rowOff>
    </xdr:to>
    <xdr:sp>
      <xdr:nvSpPr>
        <xdr:cNvPr id="8" name="Line 4"/>
        <xdr:cNvSpPr>
          <a:spLocks/>
        </xdr:cNvSpPr>
      </xdr:nvSpPr>
      <xdr:spPr>
        <a:xfrm flipH="1">
          <a:off x="4495800" y="11029950"/>
          <a:ext cx="0" cy="2952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819150</xdr:colOff>
      <xdr:row>26</xdr:row>
      <xdr:rowOff>85725</xdr:rowOff>
    </xdr:from>
    <xdr:to>
      <xdr:col>3</xdr:col>
      <xdr:colOff>104775</xdr:colOff>
      <xdr:row>26</xdr:row>
      <xdr:rowOff>85725</xdr:rowOff>
    </xdr:to>
    <xdr:sp>
      <xdr:nvSpPr>
        <xdr:cNvPr id="9" name="Line 1"/>
        <xdr:cNvSpPr>
          <a:spLocks/>
        </xdr:cNvSpPr>
      </xdr:nvSpPr>
      <xdr:spPr>
        <a:xfrm flipH="1" flipV="1">
          <a:off x="1895475" y="45339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933450</xdr:colOff>
      <xdr:row>13</xdr:row>
      <xdr:rowOff>95250</xdr:rowOff>
    </xdr:from>
    <xdr:to>
      <xdr:col>3</xdr:col>
      <xdr:colOff>419100</xdr:colOff>
      <xdr:row>13</xdr:row>
      <xdr:rowOff>95250</xdr:rowOff>
    </xdr:to>
    <xdr:sp>
      <xdr:nvSpPr>
        <xdr:cNvPr id="10" name="Line 1"/>
        <xdr:cNvSpPr>
          <a:spLocks/>
        </xdr:cNvSpPr>
      </xdr:nvSpPr>
      <xdr:spPr>
        <a:xfrm>
          <a:off x="2009775" y="2343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238125</xdr:rowOff>
    </xdr:from>
    <xdr:to>
      <xdr:col>4</xdr:col>
      <xdr:colOff>0</xdr:colOff>
      <xdr:row>5</xdr:row>
      <xdr:rowOff>114300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61925" y="333375"/>
          <a:ext cx="3143250" cy="619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State of Queensland accepts no responsibility for decisions or actions  taken as a result of any data, information, statement or advice, expressed or implied, contained in, or derived from these spreadsheets. </a:t>
          </a:r>
        </a:p>
      </xdr:txBody>
    </xdr:sp>
    <xdr:clientData/>
  </xdr:twoCellAnchor>
  <xdr:twoCellAnchor>
    <xdr:from>
      <xdr:col>7</xdr:col>
      <xdr:colOff>28575</xdr:colOff>
      <xdr:row>0</xdr:row>
      <xdr:rowOff>95250</xdr:rowOff>
    </xdr:from>
    <xdr:to>
      <xdr:col>8</xdr:col>
      <xdr:colOff>419100</xdr:colOff>
      <xdr:row>4</xdr:row>
      <xdr:rowOff>19050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943600" y="95250"/>
          <a:ext cx="1724025" cy="6000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data provided here is an example only and should be revised to reflect your particular situation.</a:t>
          </a:r>
        </a:p>
      </xdr:txBody>
    </xdr:sp>
    <xdr:clientData/>
  </xdr:twoCellAnchor>
  <xdr:twoCellAnchor editAs="oneCell">
    <xdr:from>
      <xdr:col>4</xdr:col>
      <xdr:colOff>9525</xdr:colOff>
      <xdr:row>1</xdr:row>
      <xdr:rowOff>19050</xdr:rowOff>
    </xdr:from>
    <xdr:to>
      <xdr:col>4</xdr:col>
      <xdr:colOff>657225</xdr:colOff>
      <xdr:row>5</xdr:row>
      <xdr:rowOff>66675</xdr:rowOff>
    </xdr:to>
    <xdr:pic>
      <xdr:nvPicPr>
        <xdr:cNvPr id="13" name="Picture 4" descr="Qld-CoA-Stylised-2LS-mo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114300"/>
          <a:ext cx="64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31</xdr:row>
      <xdr:rowOff>142875</xdr:rowOff>
    </xdr:from>
    <xdr:to>
      <xdr:col>5</xdr:col>
      <xdr:colOff>485775</xdr:colOff>
      <xdr:row>34</xdr:row>
      <xdr:rowOff>57150</xdr:rowOff>
    </xdr:to>
    <xdr:sp>
      <xdr:nvSpPr>
        <xdr:cNvPr id="14" name="Line 4"/>
        <xdr:cNvSpPr>
          <a:spLocks/>
        </xdr:cNvSpPr>
      </xdr:nvSpPr>
      <xdr:spPr>
        <a:xfrm flipH="1">
          <a:off x="4495800" y="5419725"/>
          <a:ext cx="0" cy="276225"/>
        </a:xfrm>
        <a:prstGeom prst="line">
          <a:avLst/>
        </a:prstGeom>
        <a:noFill/>
        <a:ln w="38100" cmpd="sng">
          <a:solidFill>
            <a:srgbClr val="A6A6A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eef%20Management\Drought\Mgt%20&amp;%20economics\fogbudYIY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eef%20Management\Drought\Mgt%20&amp;%20economics\AAQEQ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age"/>
      <sheetName val="INPUTS1"/>
      <sheetName val="ASSUMPTIONS"/>
      <sheetName val="SOP"/>
      <sheetName val="DEBTS"/>
      <sheetName val="STOCK"/>
      <sheetName val="INCOME"/>
      <sheetName val="EXPENSES"/>
      <sheetName val="Results"/>
      <sheetName val="Summary"/>
      <sheetName val="Balsheet"/>
      <sheetName val="SummaryCFlow"/>
      <sheetName val="DebtsSumm"/>
      <sheetName val="MACHINERY"/>
      <sheetName val="Cattle"/>
      <sheetName val="TAX"/>
      <sheetName val="CropsGM"/>
      <sheetName val="CROPSCHED"/>
      <sheetName val="PostDebtService"/>
      <sheetName val="wool"/>
      <sheetName val="MilkPrice"/>
      <sheetName val="Milk"/>
      <sheetName val="budget"/>
      <sheetName val="Viability"/>
      <sheetName val="Improve"/>
      <sheetName val="loan"/>
      <sheetName val="piecharts"/>
      <sheetName val="Debt"/>
      <sheetName val="Chart"/>
      <sheetName val="Restruct"/>
      <sheetName val="Char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ETY"/>
      <sheetName val="AAQEQTY"/>
      <sheetName val="sop"/>
      <sheetName val="AAQRADJ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34"/>
  <sheetViews>
    <sheetView tabSelected="1" zoomScale="130" zoomScaleNormal="130" zoomScalePageLayoutView="0" workbookViewId="0" topLeftCell="A1">
      <selection activeCell="F3" sqref="F3"/>
    </sheetView>
  </sheetViews>
  <sheetFormatPr defaultColWidth="9.140625" defaultRowHeight="12.75"/>
  <cols>
    <col min="1" max="1" width="2.421875" style="0" customWidth="1"/>
    <col min="2" max="2" width="13.7109375" style="0" customWidth="1"/>
    <col min="3" max="3" width="14.00390625" style="0" customWidth="1"/>
    <col min="4" max="4" width="19.421875" style="0" customWidth="1"/>
    <col min="5" max="5" width="10.57421875" style="0" customWidth="1"/>
    <col min="6" max="6" width="13.8515625" style="0" customWidth="1"/>
    <col min="7" max="7" width="14.7109375" style="0" customWidth="1"/>
    <col min="8" max="8" width="20.00390625" style="0" customWidth="1"/>
    <col min="9" max="9" width="10.7109375" style="0" customWidth="1"/>
    <col min="10" max="10" width="10.57421875" style="0" customWidth="1"/>
    <col min="13" max="13" width="6.57421875" style="0" customWidth="1"/>
    <col min="14" max="14" width="12.140625" style="0" customWidth="1"/>
    <col min="15" max="15" width="13.57421875" style="0" customWidth="1"/>
    <col min="16" max="16" width="15.8515625" style="0" customWidth="1"/>
    <col min="17" max="17" width="10.7109375" style="0" bestFit="1" customWidth="1"/>
    <col min="18" max="18" width="8.28125" style="0" customWidth="1"/>
    <col min="19" max="19" width="14.8515625" style="0" customWidth="1"/>
    <col min="20" max="20" width="9.421875" style="0" customWidth="1"/>
    <col min="21" max="21" width="14.421875" style="0" customWidth="1"/>
    <col min="24" max="24" width="9.421875" style="0" bestFit="1" customWidth="1"/>
    <col min="25" max="25" width="12.7109375" style="0" customWidth="1"/>
    <col min="26" max="26" width="14.421875" style="0" customWidth="1"/>
    <col min="29" max="29" width="11.7109375" style="0" bestFit="1" customWidth="1"/>
    <col min="30" max="30" width="19.8515625" style="0" customWidth="1"/>
    <col min="32" max="32" width="10.140625" style="0" bestFit="1" customWidth="1"/>
  </cols>
  <sheetData>
    <row r="1" spans="1:27" ht="7.5" customHeight="1" thickBot="1">
      <c r="A1" s="7"/>
      <c r="B1" s="7"/>
      <c r="C1" s="7"/>
      <c r="D1" s="7"/>
      <c r="E1" s="7"/>
      <c r="F1" s="81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0.25" thickBot="1">
      <c r="A2" s="7"/>
      <c r="B2" s="175" t="s">
        <v>46</v>
      </c>
      <c r="C2" s="26"/>
      <c r="D2" s="164"/>
      <c r="E2" s="27"/>
      <c r="F2" s="133" t="s">
        <v>47</v>
      </c>
      <c r="G2" s="74"/>
      <c r="H2" s="28"/>
      <c r="I2" s="28"/>
      <c r="J2" s="28"/>
      <c r="K2" s="28"/>
      <c r="L2" s="29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2.75">
      <c r="A3" s="6"/>
      <c r="B3" s="58"/>
      <c r="C3" s="31"/>
      <c r="D3" s="31"/>
      <c r="E3" s="31"/>
      <c r="F3" s="11">
        <v>100</v>
      </c>
      <c r="G3" s="32" t="s">
        <v>98</v>
      </c>
      <c r="H3" s="31"/>
      <c r="I3" s="31"/>
      <c r="J3" s="31"/>
      <c r="K3" s="182" t="s">
        <v>43</v>
      </c>
      <c r="L3" s="33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2.75">
      <c r="A4" s="6"/>
      <c r="B4" s="58"/>
      <c r="C4" s="31"/>
      <c r="D4" s="31"/>
      <c r="E4" s="31"/>
      <c r="F4" s="11">
        <v>400</v>
      </c>
      <c r="G4" s="32" t="s">
        <v>33</v>
      </c>
      <c r="H4" s="31"/>
      <c r="I4" s="31"/>
      <c r="J4" s="31"/>
      <c r="K4" s="165" t="s">
        <v>99</v>
      </c>
      <c r="L4" s="33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2.75">
      <c r="A5" s="6"/>
      <c r="B5" s="58"/>
      <c r="C5" s="31"/>
      <c r="D5" s="31"/>
      <c r="E5" s="31"/>
      <c r="F5" s="12">
        <v>1</v>
      </c>
      <c r="G5" s="32" t="s">
        <v>107</v>
      </c>
      <c r="H5" s="152"/>
      <c r="I5" s="31"/>
      <c r="J5" s="31"/>
      <c r="K5" s="165" t="s">
        <v>100</v>
      </c>
      <c r="L5" s="33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3.5" customHeight="1">
      <c r="A6" s="6"/>
      <c r="B6" s="163"/>
      <c r="C6" s="30"/>
      <c r="D6" s="30"/>
      <c r="E6" s="31"/>
      <c r="F6" s="13">
        <v>30</v>
      </c>
      <c r="G6" s="32" t="s">
        <v>30</v>
      </c>
      <c r="H6" s="152"/>
      <c r="I6" s="31"/>
      <c r="J6" s="31"/>
      <c r="K6" s="165" t="s">
        <v>101</v>
      </c>
      <c r="L6" s="33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6"/>
      <c r="B7" s="162"/>
      <c r="C7" s="35"/>
      <c r="D7" s="35"/>
      <c r="E7" s="31"/>
      <c r="F7" s="157">
        <f>H7*(F5*F4)</f>
        <v>20</v>
      </c>
      <c r="G7" s="32" t="s">
        <v>50</v>
      </c>
      <c r="H7" s="156">
        <v>0.05</v>
      </c>
      <c r="I7" s="31"/>
      <c r="J7" s="31"/>
      <c r="K7" s="165" t="s">
        <v>102</v>
      </c>
      <c r="L7" s="33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2.75">
      <c r="A8" s="8"/>
      <c r="B8" s="36" t="s">
        <v>35</v>
      </c>
      <c r="C8" s="37"/>
      <c r="D8" s="35"/>
      <c r="E8" s="31"/>
      <c r="F8" s="14">
        <v>5</v>
      </c>
      <c r="G8" s="32" t="s">
        <v>53</v>
      </c>
      <c r="H8" s="31"/>
      <c r="I8" s="31"/>
      <c r="J8" s="31"/>
      <c r="K8" s="165" t="s">
        <v>103</v>
      </c>
      <c r="L8" s="33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2.75">
      <c r="A9" s="8"/>
      <c r="B9" s="15">
        <v>4</v>
      </c>
      <c r="C9" s="39" t="s">
        <v>51</v>
      </c>
      <c r="D9" s="35"/>
      <c r="E9" s="31"/>
      <c r="F9" s="40">
        <f>F4*F5-F6-F7-F8</f>
        <v>345</v>
      </c>
      <c r="G9" s="32" t="str">
        <f>"value now  $/hd ($"&amp;ROUND(F9/F4,2)&amp;"/kg net sale price)"</f>
        <v>value now  $/hd ($0.86/kg net sale price)</v>
      </c>
      <c r="H9" s="31"/>
      <c r="I9" s="31"/>
      <c r="J9" s="31"/>
      <c r="K9" s="165" t="s">
        <v>104</v>
      </c>
      <c r="L9" s="33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2.75">
      <c r="A10" s="7"/>
      <c r="B10" s="16">
        <v>500</v>
      </c>
      <c r="C10" s="39" t="str">
        <f>"/t (="&amp;B10/10&amp;"c/kg)"</f>
        <v>/t (=50c/kg)</v>
      </c>
      <c r="D10" s="35"/>
      <c r="E10" s="31"/>
      <c r="F10" s="40">
        <f>F9*F3</f>
        <v>34500</v>
      </c>
      <c r="G10" s="41" t="str">
        <f>"value now "&amp;F3&amp;" hd"</f>
        <v>value now 100 hd</v>
      </c>
      <c r="H10" s="31"/>
      <c r="I10" s="31"/>
      <c r="J10" s="31"/>
      <c r="K10" s="32"/>
      <c r="L10" s="33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2.75">
      <c r="A11" s="7"/>
      <c r="B11" s="42">
        <f>B10/1000*B9</f>
        <v>2</v>
      </c>
      <c r="C11" s="43" t="s">
        <v>36</v>
      </c>
      <c r="D11" s="32"/>
      <c r="E11" s="32"/>
      <c r="F11" s="32"/>
      <c r="G11" s="32"/>
      <c r="H11" s="31"/>
      <c r="I11" s="31"/>
      <c r="J11" s="31"/>
      <c r="K11" s="32"/>
      <c r="L11" s="33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20.25" customHeight="1">
      <c r="A12" s="7"/>
      <c r="B12" s="44"/>
      <c r="C12" s="32"/>
      <c r="D12" s="31"/>
      <c r="E12" s="45" t="s">
        <v>34</v>
      </c>
      <c r="F12" s="32"/>
      <c r="G12" s="46" t="s">
        <v>105</v>
      </c>
      <c r="H12" s="31"/>
      <c r="I12" s="31"/>
      <c r="J12" s="31"/>
      <c r="K12" s="32"/>
      <c r="L12" s="33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3.5">
      <c r="A13" s="7"/>
      <c r="B13" s="47" t="s">
        <v>38</v>
      </c>
      <c r="C13" s="48" t="s">
        <v>11</v>
      </c>
      <c r="D13" s="152"/>
      <c r="E13" s="49"/>
      <c r="F13" s="134" t="str">
        <f>"feed costs/"&amp;F3&amp;"hd"</f>
        <v>feed costs/100hd</v>
      </c>
      <c r="G13" s="32"/>
      <c r="H13" s="31"/>
      <c r="I13" s="31"/>
      <c r="J13" s="31"/>
      <c r="K13" s="32"/>
      <c r="L13" s="33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3.5">
      <c r="A14" s="7"/>
      <c r="B14" s="17">
        <v>41835</v>
      </c>
      <c r="C14" s="50">
        <f>B14+E14</f>
        <v>42015</v>
      </c>
      <c r="D14" s="49" t="str">
        <f>"("&amp;ROUND(E14/30,1)&amp;" mths) days"</f>
        <v>(6 mths) days</v>
      </c>
      <c r="E14" s="18">
        <v>180</v>
      </c>
      <c r="F14" s="51"/>
      <c r="G14" s="19">
        <v>1.6</v>
      </c>
      <c r="H14" s="32" t="s">
        <v>52</v>
      </c>
      <c r="I14" s="32"/>
      <c r="J14" s="31"/>
      <c r="K14" s="31"/>
      <c r="L14" s="52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3.5">
      <c r="A15" s="9"/>
      <c r="B15" s="44"/>
      <c r="C15" s="32"/>
      <c r="D15" s="49" t="s">
        <v>54</v>
      </c>
      <c r="E15" s="20">
        <v>2</v>
      </c>
      <c r="F15" s="135" t="str">
        <f>"$"&amp;E15*F3&amp;"/day"</f>
        <v>$200/day</v>
      </c>
      <c r="G15" s="21">
        <v>400</v>
      </c>
      <c r="H15" s="32" t="str">
        <f>"LWT kg/hd  ($"&amp;G14*G15&amp;" /head)"</f>
        <v>LWT kg/hd  ($640 /head)</v>
      </c>
      <c r="I15" s="53"/>
      <c r="J15" s="31"/>
      <c r="K15" s="31"/>
      <c r="L15" s="52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3.5">
      <c r="A16" s="7"/>
      <c r="B16" s="44"/>
      <c r="C16" s="32"/>
      <c r="D16" s="54" t="s">
        <v>55</v>
      </c>
      <c r="E16" s="22">
        <v>5</v>
      </c>
      <c r="F16" s="135" t="str">
        <f>"$"&amp;E16*F3&amp;"/period"</f>
        <v>$500/period</v>
      </c>
      <c r="G16" s="23">
        <v>30</v>
      </c>
      <c r="H16" s="32" t="s">
        <v>31</v>
      </c>
      <c r="I16" s="53"/>
      <c r="J16" s="31"/>
      <c r="K16" s="31"/>
      <c r="L16" s="52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3.5">
      <c r="A17" s="7"/>
      <c r="B17" s="44"/>
      <c r="C17" s="24">
        <v>0.05</v>
      </c>
      <c r="D17" s="49" t="s">
        <v>56</v>
      </c>
      <c r="E17" s="153">
        <f>(C17*F4*F5)+(C17*(E14*E15+E16+E18)*0.75)</f>
        <v>34.339383561643835</v>
      </c>
      <c r="F17" s="135" t="str">
        <f>"$"&amp;ROUND(E17*F3,0)&amp;"/period"</f>
        <v>$3434/period</v>
      </c>
      <c r="G17" s="55">
        <f>I17*F9*E14/365</f>
        <v>8.506849315068493</v>
      </c>
      <c r="H17" s="32" t="s">
        <v>37</v>
      </c>
      <c r="I17" s="156">
        <v>0.05</v>
      </c>
      <c r="J17" s="31"/>
      <c r="K17" s="31"/>
      <c r="L17" s="52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3.5">
      <c r="A18" s="7"/>
      <c r="B18" s="44"/>
      <c r="C18" s="155">
        <v>0.05</v>
      </c>
      <c r="D18" s="166" t="s">
        <v>57</v>
      </c>
      <c r="E18" s="154">
        <f>(C18*F9*E14/365)+(C18*E14/365*(E14*E15))</f>
        <v>17.383561643835616</v>
      </c>
      <c r="F18" s="135" t="str">
        <f>"$"&amp;ROUND(E18*F3,0)&amp;"/period"</f>
        <v>$1738/period</v>
      </c>
      <c r="G18" s="57">
        <f>(G14*G15+G16-G17)</f>
        <v>661.4931506849315</v>
      </c>
      <c r="H18" s="32" t="s">
        <v>40</v>
      </c>
      <c r="I18" s="32"/>
      <c r="J18" s="31"/>
      <c r="K18" s="31"/>
      <c r="L18" s="52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2.75">
      <c r="A19" s="7"/>
      <c r="B19" s="58"/>
      <c r="C19" s="31"/>
      <c r="D19" s="49" t="s">
        <v>58</v>
      </c>
      <c r="E19" s="56">
        <f>E14*E15+E16+E17+E18</f>
        <v>416.72294520547945</v>
      </c>
      <c r="F19" s="31"/>
      <c r="G19" s="57">
        <f>G18*F3</f>
        <v>66149.31506849315</v>
      </c>
      <c r="H19" s="32" t="str">
        <f>"buy back value for "&amp;F3&amp;" hd"</f>
        <v>buy back value for 100 hd</v>
      </c>
      <c r="I19" s="31"/>
      <c r="J19" s="31"/>
      <c r="K19" s="31"/>
      <c r="L19" s="52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2.75">
      <c r="A20" s="7"/>
      <c r="B20" s="58"/>
      <c r="C20" s="31"/>
      <c r="D20" s="49"/>
      <c r="E20" s="56"/>
      <c r="F20" s="31"/>
      <c r="G20" s="57"/>
      <c r="H20" s="32"/>
      <c r="I20" s="32"/>
      <c r="J20" s="32"/>
      <c r="K20" s="32"/>
      <c r="L20" s="33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2.75">
      <c r="A21" s="7"/>
      <c r="B21" s="58"/>
      <c r="C21" s="31"/>
      <c r="D21" s="59" t="str">
        <f>D19</f>
        <v>Cost to feed $/hd</v>
      </c>
      <c r="E21" s="60">
        <f>E19</f>
        <v>416.72294520547945</v>
      </c>
      <c r="F21" s="32"/>
      <c r="G21" s="60">
        <f>G18-F9</f>
        <v>316.4931506849315</v>
      </c>
      <c r="H21" s="61" t="s">
        <v>41</v>
      </c>
      <c r="I21" s="32"/>
      <c r="J21" s="32"/>
      <c r="K21" s="32"/>
      <c r="L21" s="33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2.75">
      <c r="A22" s="7"/>
      <c r="B22" s="58"/>
      <c r="C22" s="31"/>
      <c r="D22" s="59" t="str">
        <f>"Cost to feed "&amp;F3&amp;" hd"</f>
        <v>Cost to feed 100 hd</v>
      </c>
      <c r="E22" s="60">
        <f>E19*F3</f>
        <v>41672.29452054795</v>
      </c>
      <c r="F22" s="167" t="s">
        <v>39</v>
      </c>
      <c r="G22" s="60">
        <f>G21*F3</f>
        <v>31649.31506849315</v>
      </c>
      <c r="H22" s="61" t="s">
        <v>41</v>
      </c>
      <c r="I22" s="32"/>
      <c r="J22" s="32"/>
      <c r="K22" s="32"/>
      <c r="L22" s="33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3.5" thickBot="1">
      <c r="A23" s="7"/>
      <c r="B23" s="58"/>
      <c r="C23" s="31"/>
      <c r="D23" s="32"/>
      <c r="E23" s="49"/>
      <c r="F23" s="31"/>
      <c r="G23" s="32"/>
      <c r="H23" s="32"/>
      <c r="I23" s="32"/>
      <c r="J23" s="32"/>
      <c r="K23" s="32"/>
      <c r="L23" s="33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3.5" thickBot="1">
      <c r="A24" s="7"/>
      <c r="B24" s="44"/>
      <c r="C24" s="32"/>
      <c r="D24" s="49" t="s">
        <v>59</v>
      </c>
      <c r="E24" s="25">
        <v>400</v>
      </c>
      <c r="F24" s="31"/>
      <c r="G24" s="172">
        <f>E21-G21</f>
        <v>100.22979452054796</v>
      </c>
      <c r="H24" s="171" t="str">
        <f>IF(G24&lt;0,"worse to sell &amp; buy back","Advantage to sell and buy back")</f>
        <v>Advantage to sell and buy back</v>
      </c>
      <c r="I24" s="160"/>
      <c r="J24" s="32"/>
      <c r="K24" s="32"/>
      <c r="L24" s="33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5" thickBot="1">
      <c r="A25" s="7"/>
      <c r="B25" s="44"/>
      <c r="C25" s="159"/>
      <c r="D25" s="183" t="s">
        <v>106</v>
      </c>
      <c r="E25" s="181">
        <f>(F6+F7+F8+F9+E21)/E24</f>
        <v>2.0418073630136986</v>
      </c>
      <c r="F25" s="31"/>
      <c r="G25" s="170">
        <f>E22-G22</f>
        <v>10022.979452054798</v>
      </c>
      <c r="H25" s="169" t="str">
        <f>"per "&amp;F3&amp;" head"</f>
        <v>per 100 head</v>
      </c>
      <c r="I25" s="161"/>
      <c r="J25" s="32"/>
      <c r="K25" s="32"/>
      <c r="L25" s="33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2.75">
      <c r="A26" s="7"/>
      <c r="B26" s="44"/>
      <c r="C26" s="32"/>
      <c r="D26" s="38"/>
      <c r="E26" s="38"/>
      <c r="F26" s="62"/>
      <c r="G26" s="63"/>
      <c r="H26" s="38"/>
      <c r="I26" s="38"/>
      <c r="J26" s="38"/>
      <c r="K26" s="38"/>
      <c r="L26" s="64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3.5" thickBot="1">
      <c r="A27" s="7"/>
      <c r="B27" s="177" t="s">
        <v>62</v>
      </c>
      <c r="C27" s="128">
        <v>0.5</v>
      </c>
      <c r="D27" s="54" t="s">
        <v>64</v>
      </c>
      <c r="E27" s="32"/>
      <c r="F27" s="31"/>
      <c r="G27" s="65" t="str">
        <f>IF(C27=0,"No calves so ignore this section","If calves born during feeding period...")</f>
        <v>If calves born during feeding period...</v>
      </c>
      <c r="H27" s="32"/>
      <c r="I27" s="31"/>
      <c r="J27" s="31"/>
      <c r="K27" s="31"/>
      <c r="L27" s="52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2.75">
      <c r="A28" s="7"/>
      <c r="B28" s="178" t="s">
        <v>60</v>
      </c>
      <c r="C28" s="129">
        <v>41852</v>
      </c>
      <c r="D28" s="54" t="s">
        <v>65</v>
      </c>
      <c r="E28" s="66">
        <f>C31*C32*C27</f>
        <v>38.080000000000005</v>
      </c>
      <c r="F28" s="31"/>
      <c r="G28" s="150">
        <f>IF(C27=0,0,G24-E28)</f>
        <v>62.14979452054795</v>
      </c>
      <c r="H28" s="67" t="str">
        <f>IF(G28&lt;0,"Worse to sell","Better to sell")</f>
        <v>Better to sell</v>
      </c>
      <c r="I28" s="31"/>
      <c r="J28" s="31"/>
      <c r="K28" s="31"/>
      <c r="L28" s="52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3.5" thickBot="1">
      <c r="A29" s="7"/>
      <c r="B29" s="178" t="s">
        <v>63</v>
      </c>
      <c r="C29" s="130">
        <f>C14-C28</f>
        <v>163</v>
      </c>
      <c r="D29" s="158" t="str">
        <f>"(Calf value =$"&amp;ROUND(C32*C31,0)&amp;")"</f>
        <v>(Calf value =$76)</v>
      </c>
      <c r="E29" s="32"/>
      <c r="F29" s="31"/>
      <c r="G29" s="151">
        <f>IF(C27=0,0,G25-(E28*F3))</f>
        <v>6214.9794520547985</v>
      </c>
      <c r="H29" s="176" t="str">
        <f>"per "&amp;F3&amp;" head"</f>
        <v>per 100 head</v>
      </c>
      <c r="I29" s="31"/>
      <c r="J29" s="31"/>
      <c r="K29" s="31"/>
      <c r="L29" s="52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2.75">
      <c r="A30" s="7"/>
      <c r="B30" s="180" t="s">
        <v>61</v>
      </c>
      <c r="C30" s="131">
        <v>0.4</v>
      </c>
      <c r="D30" s="31"/>
      <c r="E30" s="68"/>
      <c r="F30" s="31"/>
      <c r="G30" s="31"/>
      <c r="H30" s="35"/>
      <c r="I30" s="35"/>
      <c r="J30" s="35"/>
      <c r="K30" s="31"/>
      <c r="L30" s="52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2.75">
      <c r="A31" s="7"/>
      <c r="B31" s="178" t="s">
        <v>32</v>
      </c>
      <c r="C31" s="184">
        <f>C29*C30+30</f>
        <v>95.2</v>
      </c>
      <c r="D31" s="31"/>
      <c r="E31" s="31"/>
      <c r="F31" s="31"/>
      <c r="G31" s="31"/>
      <c r="H31" s="35"/>
      <c r="I31" s="35"/>
      <c r="J31" s="35"/>
      <c r="K31" s="31"/>
      <c r="L31" s="52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2.75">
      <c r="A32" s="7"/>
      <c r="B32" s="179" t="s">
        <v>42</v>
      </c>
      <c r="C32" s="132">
        <v>0.8</v>
      </c>
      <c r="D32" s="35"/>
      <c r="E32" s="35"/>
      <c r="F32" s="35"/>
      <c r="G32" s="35"/>
      <c r="H32" s="35"/>
      <c r="I32" s="35"/>
      <c r="J32" s="35"/>
      <c r="K32" s="30"/>
      <c r="L32" s="69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1.25" customHeight="1">
      <c r="A33" s="7"/>
      <c r="B33" s="70"/>
      <c r="C33" s="71"/>
      <c r="D33" s="72"/>
      <c r="E33" s="72"/>
      <c r="F33" s="72"/>
      <c r="G33" s="72"/>
      <c r="H33" s="72"/>
      <c r="I33" s="72"/>
      <c r="J33" s="72"/>
      <c r="K33" s="34"/>
      <c r="L33" s="73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4.5" customHeight="1">
      <c r="A34" s="7"/>
      <c r="B34" s="44"/>
      <c r="C34" s="32"/>
      <c r="D34" s="32"/>
      <c r="E34" s="32"/>
      <c r="F34" s="32"/>
      <c r="G34" s="32"/>
      <c r="H34" s="32"/>
      <c r="I34" s="32"/>
      <c r="J34" s="32"/>
      <c r="K34" s="32"/>
      <c r="L34" s="33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2.75">
      <c r="A35" s="7"/>
      <c r="B35" s="44"/>
      <c r="C35" s="32"/>
      <c r="D35" s="32"/>
      <c r="E35" s="59" t="s">
        <v>44</v>
      </c>
      <c r="F35" s="32"/>
      <c r="G35" s="75" t="s">
        <v>45</v>
      </c>
      <c r="H35" s="32"/>
      <c r="I35" s="32"/>
      <c r="J35" s="32"/>
      <c r="K35" s="32"/>
      <c r="L35" s="33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2.75">
      <c r="A36" s="7"/>
      <c r="B36" s="44"/>
      <c r="C36" s="32"/>
      <c r="D36" s="32"/>
      <c r="E36" s="54" t="s">
        <v>84</v>
      </c>
      <c r="F36" s="32"/>
      <c r="G36" s="65" t="s">
        <v>91</v>
      </c>
      <c r="H36" s="32"/>
      <c r="I36" s="32"/>
      <c r="J36" s="32"/>
      <c r="K36" s="32"/>
      <c r="L36" s="33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.75">
      <c r="A37" s="7"/>
      <c r="B37" s="44"/>
      <c r="C37" s="32"/>
      <c r="D37" s="32"/>
      <c r="E37" s="54" t="s">
        <v>85</v>
      </c>
      <c r="F37" s="32"/>
      <c r="G37" s="65" t="s">
        <v>92</v>
      </c>
      <c r="H37" s="32"/>
      <c r="I37" s="32"/>
      <c r="J37" s="32"/>
      <c r="K37" s="32"/>
      <c r="L37" s="33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2.75">
      <c r="A38" s="7"/>
      <c r="B38" s="44"/>
      <c r="C38" s="32"/>
      <c r="D38" s="32"/>
      <c r="E38" s="54" t="s">
        <v>86</v>
      </c>
      <c r="F38" s="32"/>
      <c r="G38" s="65" t="s">
        <v>93</v>
      </c>
      <c r="H38" s="32"/>
      <c r="I38" s="32"/>
      <c r="J38" s="32"/>
      <c r="K38" s="32"/>
      <c r="L38" s="33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2.75">
      <c r="A39" s="7"/>
      <c r="B39" s="44"/>
      <c r="C39" s="32"/>
      <c r="D39" s="32"/>
      <c r="E39" s="54" t="s">
        <v>87</v>
      </c>
      <c r="F39" s="32"/>
      <c r="G39" s="173" t="s">
        <v>94</v>
      </c>
      <c r="H39" s="32"/>
      <c r="I39" s="32"/>
      <c r="J39" s="32"/>
      <c r="K39" s="32"/>
      <c r="L39" s="33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.75">
      <c r="A40" s="7"/>
      <c r="B40" s="44"/>
      <c r="C40" s="32"/>
      <c r="D40" s="32"/>
      <c r="E40" s="54" t="s">
        <v>88</v>
      </c>
      <c r="F40" s="32"/>
      <c r="G40" s="65" t="s">
        <v>95</v>
      </c>
      <c r="H40" s="32"/>
      <c r="I40" s="32"/>
      <c r="J40" s="32"/>
      <c r="K40" s="32"/>
      <c r="L40" s="33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2.75">
      <c r="A41" s="7"/>
      <c r="B41" s="44"/>
      <c r="C41" s="32"/>
      <c r="D41" s="32"/>
      <c r="E41" s="54" t="s">
        <v>89</v>
      </c>
      <c r="F41" s="32"/>
      <c r="G41" s="65" t="s">
        <v>96</v>
      </c>
      <c r="H41" s="32"/>
      <c r="I41" s="32"/>
      <c r="J41" s="32"/>
      <c r="K41" s="32"/>
      <c r="L41" s="33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3.5" thickBot="1">
      <c r="A42" s="7"/>
      <c r="B42" s="76"/>
      <c r="C42" s="77"/>
      <c r="D42" s="77"/>
      <c r="E42" s="78" t="s">
        <v>90</v>
      </c>
      <c r="F42" s="77"/>
      <c r="G42" s="79" t="s">
        <v>97</v>
      </c>
      <c r="H42" s="77"/>
      <c r="I42" s="77"/>
      <c r="J42" s="77"/>
      <c r="K42" s="77"/>
      <c r="L42" s="80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3.5" thickBot="1">
      <c r="A43" s="7"/>
      <c r="B43" s="1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5">
      <c r="A44" s="7"/>
      <c r="B44" s="136" t="s">
        <v>2</v>
      </c>
      <c r="C44" s="137"/>
      <c r="D44" s="137"/>
      <c r="E44" s="137"/>
      <c r="F44" s="137"/>
      <c r="G44" s="137"/>
      <c r="H44" s="137"/>
      <c r="I44" s="137"/>
      <c r="J44" s="137"/>
      <c r="K44" s="138"/>
      <c r="L44" s="139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2.75">
      <c r="A45" s="7"/>
      <c r="B45" s="168" t="s">
        <v>1</v>
      </c>
      <c r="C45" s="140"/>
      <c r="D45" s="140"/>
      <c r="E45" s="140"/>
      <c r="F45" s="140"/>
      <c r="G45" s="140"/>
      <c r="H45" s="140"/>
      <c r="I45" s="140"/>
      <c r="J45" s="140"/>
      <c r="K45" s="141"/>
      <c r="L45" s="142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2.75">
      <c r="A46" s="7"/>
      <c r="B46" s="143" t="s">
        <v>49</v>
      </c>
      <c r="C46" s="140"/>
      <c r="D46" s="140"/>
      <c r="E46" s="140"/>
      <c r="F46" s="140"/>
      <c r="G46" s="140"/>
      <c r="H46" s="140"/>
      <c r="I46" s="140"/>
      <c r="J46" s="140"/>
      <c r="K46" s="141"/>
      <c r="L46" s="142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2.75">
      <c r="A47" s="7"/>
      <c r="B47" s="143" t="s">
        <v>66</v>
      </c>
      <c r="C47" s="140"/>
      <c r="D47" s="140"/>
      <c r="E47" s="140"/>
      <c r="F47" s="140"/>
      <c r="G47" s="140"/>
      <c r="H47" s="140"/>
      <c r="I47" s="140"/>
      <c r="J47" s="140"/>
      <c r="K47" s="141"/>
      <c r="L47" s="142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.75">
      <c r="A48" s="7"/>
      <c r="B48" s="143" t="s">
        <v>48</v>
      </c>
      <c r="C48" s="140"/>
      <c r="D48" s="140"/>
      <c r="E48" s="140"/>
      <c r="F48" s="140"/>
      <c r="G48" s="140"/>
      <c r="H48" s="140"/>
      <c r="I48" s="140"/>
      <c r="J48" s="140"/>
      <c r="K48" s="141"/>
      <c r="L48" s="142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>
      <c r="A49" s="7"/>
      <c r="B49" s="143" t="s">
        <v>3</v>
      </c>
      <c r="C49" s="140"/>
      <c r="D49" s="140"/>
      <c r="E49" s="140"/>
      <c r="F49" s="140"/>
      <c r="G49" s="140"/>
      <c r="H49" s="140"/>
      <c r="I49" s="140"/>
      <c r="J49" s="140"/>
      <c r="K49" s="141"/>
      <c r="L49" s="142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2.75">
      <c r="A50" s="7"/>
      <c r="B50" s="143" t="s">
        <v>108</v>
      </c>
      <c r="C50" s="140"/>
      <c r="D50" s="140"/>
      <c r="E50" s="140"/>
      <c r="F50" s="140"/>
      <c r="G50" s="140"/>
      <c r="H50" s="140"/>
      <c r="I50" s="140"/>
      <c r="J50" s="140"/>
      <c r="K50" s="141"/>
      <c r="L50" s="142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.75">
      <c r="A51" s="7"/>
      <c r="B51" s="143" t="s">
        <v>69</v>
      </c>
      <c r="C51" s="140"/>
      <c r="D51" s="140"/>
      <c r="E51" s="140"/>
      <c r="F51" s="140"/>
      <c r="G51" s="140"/>
      <c r="H51" s="140"/>
      <c r="I51" s="140"/>
      <c r="J51" s="140"/>
      <c r="K51" s="141"/>
      <c r="L51" s="142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2.75">
      <c r="A52" s="7"/>
      <c r="B52" s="144" t="s">
        <v>67</v>
      </c>
      <c r="C52" s="140"/>
      <c r="D52" s="140"/>
      <c r="E52" s="140"/>
      <c r="F52" s="140"/>
      <c r="G52" s="140"/>
      <c r="H52" s="140"/>
      <c r="I52" s="140"/>
      <c r="J52" s="140"/>
      <c r="K52" s="141"/>
      <c r="L52" s="142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2.75">
      <c r="A53" s="7"/>
      <c r="B53" s="144" t="s">
        <v>68</v>
      </c>
      <c r="C53" s="140"/>
      <c r="D53" s="140"/>
      <c r="E53" s="140"/>
      <c r="F53" s="140"/>
      <c r="G53" s="140"/>
      <c r="H53" s="140"/>
      <c r="I53" s="140"/>
      <c r="J53" s="140"/>
      <c r="K53" s="141"/>
      <c r="L53" s="142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2.75">
      <c r="A54" s="7"/>
      <c r="B54" s="168" t="s">
        <v>0</v>
      </c>
      <c r="C54" s="140"/>
      <c r="D54" s="140"/>
      <c r="E54" s="140"/>
      <c r="F54" s="140"/>
      <c r="G54" s="140"/>
      <c r="H54" s="140"/>
      <c r="I54" s="140"/>
      <c r="J54" s="140"/>
      <c r="K54" s="141"/>
      <c r="L54" s="142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2.75">
      <c r="A55" s="7"/>
      <c r="B55" s="143" t="s">
        <v>70</v>
      </c>
      <c r="C55" s="140"/>
      <c r="D55" s="140"/>
      <c r="E55" s="140"/>
      <c r="F55" s="140"/>
      <c r="G55" s="140"/>
      <c r="H55" s="140"/>
      <c r="I55" s="140"/>
      <c r="J55" s="140"/>
      <c r="K55" s="141"/>
      <c r="L55" s="142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2.75">
      <c r="A56" s="7"/>
      <c r="B56" s="143" t="s">
        <v>71</v>
      </c>
      <c r="C56" s="140"/>
      <c r="D56" s="140"/>
      <c r="E56" s="140"/>
      <c r="F56" s="140"/>
      <c r="G56" s="140"/>
      <c r="H56" s="140"/>
      <c r="I56" s="140"/>
      <c r="J56" s="140"/>
      <c r="K56" s="141"/>
      <c r="L56" s="142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2.75">
      <c r="A57" s="7"/>
      <c r="B57" s="168" t="s">
        <v>4</v>
      </c>
      <c r="C57" s="145"/>
      <c r="D57" s="145"/>
      <c r="E57" s="145"/>
      <c r="F57" s="145"/>
      <c r="G57" s="145"/>
      <c r="H57" s="145"/>
      <c r="I57" s="145"/>
      <c r="J57" s="145"/>
      <c r="K57" s="141"/>
      <c r="L57" s="142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>
      <c r="A58" s="7"/>
      <c r="B58" s="144" t="s">
        <v>72</v>
      </c>
      <c r="C58" s="145"/>
      <c r="D58" s="145"/>
      <c r="E58" s="145"/>
      <c r="F58" s="145"/>
      <c r="G58" s="145"/>
      <c r="H58" s="145"/>
      <c r="I58" s="145"/>
      <c r="J58" s="145"/>
      <c r="K58" s="141"/>
      <c r="L58" s="142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7"/>
      <c r="B59" s="144" t="s">
        <v>73</v>
      </c>
      <c r="C59" s="145"/>
      <c r="D59" s="145"/>
      <c r="E59" s="145"/>
      <c r="F59" s="145"/>
      <c r="G59" s="145"/>
      <c r="H59" s="145"/>
      <c r="I59" s="145"/>
      <c r="J59" s="145"/>
      <c r="K59" s="141"/>
      <c r="L59" s="142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2.75">
      <c r="A60" s="7"/>
      <c r="B60" s="144" t="s">
        <v>74</v>
      </c>
      <c r="C60" s="145"/>
      <c r="D60" s="145"/>
      <c r="E60" s="145"/>
      <c r="F60" s="145"/>
      <c r="G60" s="145"/>
      <c r="H60" s="145"/>
      <c r="I60" s="145"/>
      <c r="J60" s="145"/>
      <c r="K60" s="141"/>
      <c r="L60" s="142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7"/>
      <c r="B61" s="144" t="s">
        <v>75</v>
      </c>
      <c r="C61" s="145"/>
      <c r="D61" s="145"/>
      <c r="E61" s="145"/>
      <c r="F61" s="145"/>
      <c r="G61" s="145"/>
      <c r="H61" s="145"/>
      <c r="I61" s="145"/>
      <c r="J61" s="145"/>
      <c r="K61" s="141"/>
      <c r="L61" s="142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2.75">
      <c r="A62" s="7"/>
      <c r="B62" s="168" t="s">
        <v>29</v>
      </c>
      <c r="C62" s="145"/>
      <c r="D62" s="145"/>
      <c r="E62" s="145"/>
      <c r="F62" s="145"/>
      <c r="G62" s="145"/>
      <c r="H62" s="145"/>
      <c r="I62" s="145"/>
      <c r="J62" s="145"/>
      <c r="K62" s="141"/>
      <c r="L62" s="142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2.75">
      <c r="A63" s="7"/>
      <c r="B63" s="144" t="s">
        <v>76</v>
      </c>
      <c r="C63" s="145"/>
      <c r="D63" s="145"/>
      <c r="E63" s="145"/>
      <c r="F63" s="145"/>
      <c r="G63" s="145"/>
      <c r="H63" s="145"/>
      <c r="I63" s="145"/>
      <c r="J63" s="145"/>
      <c r="K63" s="141"/>
      <c r="L63" s="142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7"/>
      <c r="B64" s="144" t="s">
        <v>77</v>
      </c>
      <c r="C64" s="145"/>
      <c r="D64" s="145"/>
      <c r="E64" s="145"/>
      <c r="F64" s="145"/>
      <c r="G64" s="145"/>
      <c r="H64" s="145"/>
      <c r="I64" s="145"/>
      <c r="J64" s="145"/>
      <c r="K64" s="141"/>
      <c r="L64" s="142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2.75">
      <c r="A65" s="7"/>
      <c r="B65" s="144" t="s">
        <v>109</v>
      </c>
      <c r="C65" s="145"/>
      <c r="D65" s="145"/>
      <c r="E65" s="145"/>
      <c r="F65" s="145"/>
      <c r="G65" s="145"/>
      <c r="H65" s="145"/>
      <c r="I65" s="145"/>
      <c r="J65" s="145"/>
      <c r="K65" s="141"/>
      <c r="L65" s="142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2.75">
      <c r="A66" s="7"/>
      <c r="B66" s="144" t="s">
        <v>78</v>
      </c>
      <c r="C66" s="145"/>
      <c r="D66" s="145"/>
      <c r="E66" s="145"/>
      <c r="F66" s="145"/>
      <c r="G66" s="145"/>
      <c r="H66" s="145"/>
      <c r="I66" s="145"/>
      <c r="J66" s="145"/>
      <c r="K66" s="141"/>
      <c r="L66" s="142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3.5" thickBot="1">
      <c r="A67" s="7"/>
      <c r="B67" s="146" t="s">
        <v>79</v>
      </c>
      <c r="C67" s="147"/>
      <c r="D67" s="147"/>
      <c r="E67" s="147"/>
      <c r="F67" s="147"/>
      <c r="G67" s="147"/>
      <c r="H67" s="147"/>
      <c r="I67" s="147"/>
      <c r="J67" s="147"/>
      <c r="K67" s="148"/>
      <c r="L67" s="149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3.5" thickBo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2.75">
      <c r="A69" s="7"/>
      <c r="B69" s="82" t="s">
        <v>28</v>
      </c>
      <c r="C69" s="83"/>
      <c r="D69" s="83"/>
      <c r="E69" s="84"/>
      <c r="F69" s="84"/>
      <c r="G69" s="84"/>
      <c r="H69" s="84"/>
      <c r="I69" s="84"/>
      <c r="J69" s="84"/>
      <c r="K69" s="84"/>
      <c r="L69" s="85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>
      <c r="A70" s="7"/>
      <c r="B70" s="86" t="s">
        <v>80</v>
      </c>
      <c r="C70" s="32"/>
      <c r="D70" s="32"/>
      <c r="E70" s="87"/>
      <c r="F70" s="87"/>
      <c r="G70" s="87"/>
      <c r="H70" s="87"/>
      <c r="I70" s="87"/>
      <c r="J70" s="87"/>
      <c r="K70" s="87"/>
      <c r="L70" s="88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>
      <c r="A71" s="7"/>
      <c r="B71" s="86" t="s">
        <v>81</v>
      </c>
      <c r="C71" s="32"/>
      <c r="D71" s="32"/>
      <c r="E71" s="87"/>
      <c r="F71" s="87"/>
      <c r="G71" s="87"/>
      <c r="H71" s="87"/>
      <c r="I71" s="87"/>
      <c r="J71" s="87"/>
      <c r="K71" s="87"/>
      <c r="L71" s="88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2.75">
      <c r="A72" s="7"/>
      <c r="B72" s="89"/>
      <c r="C72" s="32"/>
      <c r="D72" s="32"/>
      <c r="E72" s="87"/>
      <c r="F72" s="87"/>
      <c r="G72" s="87"/>
      <c r="H72" s="87"/>
      <c r="I72" s="87"/>
      <c r="J72" s="87"/>
      <c r="K72" s="87"/>
      <c r="L72" s="88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.75">
      <c r="A73" s="7"/>
      <c r="B73" s="89" t="s">
        <v>23</v>
      </c>
      <c r="C73" s="32"/>
      <c r="D73" s="32"/>
      <c r="E73" s="87"/>
      <c r="F73" s="87"/>
      <c r="G73" s="87"/>
      <c r="H73" s="87"/>
      <c r="I73" s="87"/>
      <c r="J73" s="87"/>
      <c r="K73" s="87"/>
      <c r="L73" s="88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>
      <c r="A74" s="7"/>
      <c r="B74" s="89" t="s">
        <v>82</v>
      </c>
      <c r="C74" s="32"/>
      <c r="D74" s="32"/>
      <c r="E74" s="87"/>
      <c r="F74" s="87"/>
      <c r="G74" s="87"/>
      <c r="H74" s="87"/>
      <c r="I74" s="87"/>
      <c r="J74" s="87"/>
      <c r="K74" s="87"/>
      <c r="L74" s="88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2.75">
      <c r="A75" s="7"/>
      <c r="B75" s="89" t="s">
        <v>24</v>
      </c>
      <c r="C75" s="32"/>
      <c r="D75" s="32"/>
      <c r="E75" s="87"/>
      <c r="F75" s="87"/>
      <c r="G75" s="87"/>
      <c r="H75" s="87"/>
      <c r="I75" s="87"/>
      <c r="J75" s="87"/>
      <c r="K75" s="87"/>
      <c r="L75" s="88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.75">
      <c r="A76" s="7"/>
      <c r="B76" s="44"/>
      <c r="C76" s="32"/>
      <c r="D76" s="87"/>
      <c r="E76" s="87"/>
      <c r="F76" s="90" t="s">
        <v>10</v>
      </c>
      <c r="G76" s="90" t="s">
        <v>11</v>
      </c>
      <c r="H76" s="91" t="s">
        <v>12</v>
      </c>
      <c r="I76" s="87"/>
      <c r="J76" s="87"/>
      <c r="K76" s="87"/>
      <c r="L76" s="88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>
      <c r="A77" s="7"/>
      <c r="B77" s="44"/>
      <c r="C77" s="32"/>
      <c r="D77" s="87"/>
      <c r="E77" s="92" t="s">
        <v>9</v>
      </c>
      <c r="F77" s="1">
        <v>41365</v>
      </c>
      <c r="G77" s="1">
        <v>41623</v>
      </c>
      <c r="H77" s="93">
        <f>G77-F77</f>
        <v>258</v>
      </c>
      <c r="I77" s="87"/>
      <c r="J77" s="87"/>
      <c r="K77" s="87"/>
      <c r="L77" s="88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2.75">
      <c r="A78" s="7"/>
      <c r="B78" s="44"/>
      <c r="C78" s="32"/>
      <c r="D78" s="87"/>
      <c r="E78" s="87"/>
      <c r="F78" s="87"/>
      <c r="G78" s="87"/>
      <c r="H78" s="87"/>
      <c r="I78" s="94" t="s">
        <v>7</v>
      </c>
      <c r="J78" s="95" t="s">
        <v>8</v>
      </c>
      <c r="K78" s="87"/>
      <c r="L78" s="88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>
      <c r="A79" s="7"/>
      <c r="B79" s="44"/>
      <c r="C79" s="32"/>
      <c r="D79" s="87"/>
      <c r="E79" s="96" t="s">
        <v>13</v>
      </c>
      <c r="F79" s="97" t="s">
        <v>19</v>
      </c>
      <c r="G79" s="96" t="s">
        <v>14</v>
      </c>
      <c r="H79" s="98" t="s">
        <v>16</v>
      </c>
      <c r="I79" s="99">
        <f>E83</f>
        <v>41365</v>
      </c>
      <c r="J79" s="100">
        <f>I80</f>
        <v>41425</v>
      </c>
      <c r="K79" s="87"/>
      <c r="L79" s="88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2.75">
      <c r="A80" s="7"/>
      <c r="B80" s="44"/>
      <c r="C80" s="32"/>
      <c r="D80" s="87"/>
      <c r="E80" s="101"/>
      <c r="F80" s="102" t="s">
        <v>20</v>
      </c>
      <c r="G80" s="174" t="s">
        <v>83</v>
      </c>
      <c r="H80" s="5">
        <v>60</v>
      </c>
      <c r="I80" s="99">
        <f>H83</f>
        <v>41425</v>
      </c>
      <c r="J80" s="100">
        <f>G77</f>
        <v>41623</v>
      </c>
      <c r="K80" s="87"/>
      <c r="L80" s="88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>
      <c r="A81" s="7"/>
      <c r="B81" s="44"/>
      <c r="C81" s="32"/>
      <c r="D81" s="103" t="s">
        <v>17</v>
      </c>
      <c r="E81" s="2">
        <v>100</v>
      </c>
      <c r="F81" s="104"/>
      <c r="G81" s="105">
        <f>E81</f>
        <v>100</v>
      </c>
      <c r="H81" s="106"/>
      <c r="I81" s="107">
        <f>I80-I79</f>
        <v>60</v>
      </c>
      <c r="J81" s="108">
        <f>J80-J79</f>
        <v>198</v>
      </c>
      <c r="K81" s="87"/>
      <c r="L81" s="88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>
      <c r="A82" s="7"/>
      <c r="B82" s="44"/>
      <c r="C82" s="32"/>
      <c r="D82" s="87"/>
      <c r="E82" s="109" t="s">
        <v>7</v>
      </c>
      <c r="F82" s="110" t="s">
        <v>8</v>
      </c>
      <c r="G82" s="109" t="s">
        <v>7</v>
      </c>
      <c r="H82" s="111" t="s">
        <v>8</v>
      </c>
      <c r="I82" s="112" t="s">
        <v>5</v>
      </c>
      <c r="J82" s="113" t="s">
        <v>5</v>
      </c>
      <c r="K82" s="87"/>
      <c r="L82" s="88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.75">
      <c r="A83" s="7"/>
      <c r="B83" s="44"/>
      <c r="C83" s="32"/>
      <c r="D83" s="92" t="s">
        <v>15</v>
      </c>
      <c r="E83" s="114">
        <f>F77</f>
        <v>41365</v>
      </c>
      <c r="F83" s="115"/>
      <c r="G83" s="117" t="str">
        <f>H80&amp;" days"</f>
        <v>60 days</v>
      </c>
      <c r="H83" s="100">
        <f>E83+H80</f>
        <v>41425</v>
      </c>
      <c r="I83" s="87"/>
      <c r="J83" s="87"/>
      <c r="K83" s="87"/>
      <c r="L83" s="88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.75">
      <c r="A84" s="7"/>
      <c r="B84" s="44"/>
      <c r="C84" s="32"/>
      <c r="D84" s="92" t="s">
        <v>27</v>
      </c>
      <c r="E84" s="3">
        <v>25</v>
      </c>
      <c r="F84" s="116"/>
      <c r="G84" s="112"/>
      <c r="H84" s="5">
        <v>30</v>
      </c>
      <c r="I84" s="87"/>
      <c r="J84" s="87"/>
      <c r="K84" s="87"/>
      <c r="L84" s="88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2.75">
      <c r="A85" s="7"/>
      <c r="B85" s="44"/>
      <c r="C85" s="32"/>
      <c r="D85" s="92" t="s">
        <v>18</v>
      </c>
      <c r="E85" s="117">
        <f>E81-E84</f>
        <v>75</v>
      </c>
      <c r="F85" s="115">
        <f>E85</f>
        <v>75</v>
      </c>
      <c r="G85" s="117">
        <f>G81</f>
        <v>100</v>
      </c>
      <c r="H85" s="115">
        <f>G81-H84</f>
        <v>70</v>
      </c>
      <c r="I85" s="87"/>
      <c r="J85" s="87"/>
      <c r="K85" s="87"/>
      <c r="L85" s="88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2.75">
      <c r="A86" s="7"/>
      <c r="B86" s="44"/>
      <c r="C86" s="32"/>
      <c r="D86" s="92" t="s">
        <v>25</v>
      </c>
      <c r="E86" s="4">
        <v>10</v>
      </c>
      <c r="F86" s="115">
        <f>E86</f>
        <v>10</v>
      </c>
      <c r="G86" s="117">
        <f>E86</f>
        <v>10</v>
      </c>
      <c r="H86" s="115">
        <f>E86</f>
        <v>10</v>
      </c>
      <c r="I86" s="87"/>
      <c r="J86" s="87"/>
      <c r="K86" s="87"/>
      <c r="L86" s="88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2.75">
      <c r="A87" s="7"/>
      <c r="B87" s="44"/>
      <c r="C87" s="32"/>
      <c r="D87" s="92" t="s">
        <v>12</v>
      </c>
      <c r="E87" s="117">
        <f>H80</f>
        <v>60</v>
      </c>
      <c r="F87" s="118">
        <f>G77-H83</f>
        <v>198</v>
      </c>
      <c r="G87" s="117">
        <f>H80</f>
        <v>60</v>
      </c>
      <c r="H87" s="118">
        <f>G77-H83</f>
        <v>198</v>
      </c>
      <c r="I87" s="87"/>
      <c r="J87" s="87"/>
      <c r="K87" s="87"/>
      <c r="L87" s="88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2.75">
      <c r="A88" s="7"/>
      <c r="B88" s="44"/>
      <c r="C88" s="32"/>
      <c r="D88" s="119" t="s">
        <v>6</v>
      </c>
      <c r="E88" s="94">
        <f>E86*E85*E87/1000</f>
        <v>45</v>
      </c>
      <c r="F88" s="95">
        <f>F86*F85*F87/1000</f>
        <v>148.5</v>
      </c>
      <c r="G88" s="120">
        <f>G86*G85*G87/1000</f>
        <v>60</v>
      </c>
      <c r="H88" s="95">
        <f>H86*H85*H87/1000</f>
        <v>138.6</v>
      </c>
      <c r="I88" s="87"/>
      <c r="J88" s="87"/>
      <c r="K88" s="87"/>
      <c r="L88" s="88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2.75">
      <c r="A89" s="7"/>
      <c r="B89" s="44"/>
      <c r="C89" s="32"/>
      <c r="D89" s="92" t="s">
        <v>21</v>
      </c>
      <c r="E89" s="90"/>
      <c r="F89" s="121">
        <f>SUM(E88:F88)</f>
        <v>193.5</v>
      </c>
      <c r="G89" s="90"/>
      <c r="H89" s="121">
        <f>SUM(G88:H88)</f>
        <v>198.6</v>
      </c>
      <c r="I89" s="87"/>
      <c r="J89" s="87"/>
      <c r="K89" s="87"/>
      <c r="L89" s="88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2.75">
      <c r="A90" s="7"/>
      <c r="B90" s="44"/>
      <c r="C90" s="32"/>
      <c r="D90" s="87"/>
      <c r="E90" s="90"/>
      <c r="F90" s="90"/>
      <c r="G90" s="90"/>
      <c r="H90" s="90"/>
      <c r="I90" s="87"/>
      <c r="J90" s="87"/>
      <c r="K90" s="87"/>
      <c r="L90" s="88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2.75">
      <c r="A91" s="7"/>
      <c r="B91" s="44"/>
      <c r="C91" s="32"/>
      <c r="D91" s="87"/>
      <c r="E91" s="92" t="s">
        <v>22</v>
      </c>
      <c r="F91" s="122">
        <f>F85</f>
        <v>75</v>
      </c>
      <c r="G91" s="87"/>
      <c r="H91" s="122">
        <f>H85</f>
        <v>70</v>
      </c>
      <c r="I91" s="90"/>
      <c r="J91" s="87"/>
      <c r="K91" s="87"/>
      <c r="L91" s="88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2.75">
      <c r="A92" s="7"/>
      <c r="B92" s="44"/>
      <c r="C92" s="32"/>
      <c r="D92" s="87"/>
      <c r="E92" s="92" t="s">
        <v>26</v>
      </c>
      <c r="F92" s="123">
        <f>H89-F89</f>
        <v>5.099999999999994</v>
      </c>
      <c r="G92" s="87"/>
      <c r="H92" s="123">
        <f>F89-H89</f>
        <v>-5.099999999999994</v>
      </c>
      <c r="I92" s="87"/>
      <c r="J92" s="87"/>
      <c r="K92" s="87"/>
      <c r="L92" s="88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2.75">
      <c r="A93" s="7"/>
      <c r="B93" s="44"/>
      <c r="C93" s="32"/>
      <c r="D93" s="87"/>
      <c r="E93" s="92" t="str">
        <f>"Enough feed for "&amp;E85&amp;" head for extra or less days---&gt;"</f>
        <v>Enough feed for 75 head for extra or less days---&gt;</v>
      </c>
      <c r="F93" s="124">
        <f>F92/F85/E86*1000</f>
        <v>6.799999999999992</v>
      </c>
      <c r="G93" s="87"/>
      <c r="H93" s="124">
        <f>H92/H85/G86*1000</f>
        <v>-7.285714285714278</v>
      </c>
      <c r="I93" s="87"/>
      <c r="J93" s="87"/>
      <c r="K93" s="87"/>
      <c r="L93" s="88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3.5" thickBot="1">
      <c r="A94" s="7"/>
      <c r="B94" s="76"/>
      <c r="C94" s="77"/>
      <c r="D94" s="125"/>
      <c r="E94" s="125"/>
      <c r="F94" s="125"/>
      <c r="G94" s="126"/>
      <c r="H94" s="125"/>
      <c r="I94" s="125"/>
      <c r="J94" s="125"/>
      <c r="K94" s="125"/>
      <c r="L94" s="12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</sheetData>
  <sheetProtection sheet="1"/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Primary Industries &amp; Fisheries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Sneath</dc:creator>
  <cp:keywords/>
  <dc:description/>
  <cp:lastModifiedBy>Felicity McIntosh</cp:lastModifiedBy>
  <cp:lastPrinted>2013-05-15T03:46:23Z</cp:lastPrinted>
  <dcterms:created xsi:type="dcterms:W3CDTF">2013-05-15T03:16:40Z</dcterms:created>
  <dcterms:modified xsi:type="dcterms:W3CDTF">2014-08-25T03:45:39Z</dcterms:modified>
  <cp:category/>
  <cp:version/>
  <cp:contentType/>
  <cp:contentStatus/>
</cp:coreProperties>
</file>